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9050" windowHeight="9720" tabRatio="956" activeTab="0"/>
  </bookViews>
  <sheets>
    <sheet name="Read Me" sheetId="1" r:id="rId1"/>
    <sheet name="A-1 Surf Wat Bnhmks" sheetId="2" r:id="rId2"/>
    <sheet name="A-2 sed bnhmks" sheetId="3" r:id="rId3"/>
    <sheet name="A-3 tissue bnhmks" sheetId="4" r:id="rId4"/>
    <sheet name="A-4 RGSM-FHM Tox Profile" sheetId="5" r:id="rId5"/>
  </sheets>
  <definedNames>
    <definedName name="_xlnm.Print_Area" localSheetId="1">'A-1 Surf Wat Bnhmks'!$A$1:$T$217</definedName>
    <definedName name="_xlnm.Print_Area" localSheetId="2">'A-2 sed bnhmks'!$A$1:$F$300</definedName>
    <definedName name="_xlnm.Print_Area" localSheetId="3">'A-3 tissue bnhmks'!$A$1:$H$77</definedName>
    <definedName name="_xlnm.Print_Titles" localSheetId="1">'A-1 Surf Wat Bnhmks'!$2:$6</definedName>
    <definedName name="_xlnm.Print_Titles" localSheetId="2">'A-2 sed bnhmks'!$2:$4</definedName>
    <definedName name="_xlnm.Print_Titles" localSheetId="3">'A-3 tissue bnhmks'!$2:$5</definedName>
  </definedNames>
  <calcPr fullCalcOnLoad="1"/>
</workbook>
</file>

<file path=xl/comments2.xml><?xml version="1.0" encoding="utf-8"?>
<comments xmlns="http://schemas.openxmlformats.org/spreadsheetml/2006/main">
  <authors>
    <author>natalie.smith</author>
    <author>rachelle.schluep</author>
    <author>Natalie Smith</author>
  </authors>
  <commentList>
    <comment ref="O66" authorId="0">
      <text>
        <r>
          <rPr>
            <b/>
            <sz val="8"/>
            <rFont val="Tahoma"/>
            <family val="0"/>
          </rPr>
          <t>natalie.smith:</t>
        </r>
        <r>
          <rPr>
            <sz val="8"/>
            <rFont val="Tahoma"/>
            <family val="0"/>
          </rPr>
          <t xml:space="preserve">
AS3</t>
        </r>
      </text>
    </comment>
    <comment ref="P66" authorId="0">
      <text>
        <r>
          <rPr>
            <b/>
            <sz val="8"/>
            <rFont val="Tahoma"/>
            <family val="0"/>
          </rPr>
          <t>natalie.smith:</t>
        </r>
        <r>
          <rPr>
            <sz val="8"/>
            <rFont val="Tahoma"/>
            <family val="0"/>
          </rPr>
          <t xml:space="preserve">
AS3</t>
        </r>
      </text>
    </comment>
    <comment ref="B92" authorId="1">
      <text>
        <r>
          <rPr>
            <b/>
            <sz val="8"/>
            <rFont val="Tahoma"/>
            <family val="0"/>
          </rPr>
          <t>rachelle.schluep:</t>
        </r>
        <r>
          <rPr>
            <sz val="8"/>
            <rFont val="Tahoma"/>
            <family val="0"/>
          </rPr>
          <t xml:space="preserve">
11= Isleta
NMAC = 11</t>
        </r>
      </text>
    </comment>
    <comment ref="G92" authorId="1">
      <text>
        <r>
          <rPr>
            <b/>
            <sz val="10"/>
            <rFont val="Tahoma"/>
            <family val="2"/>
          </rPr>
          <t>rachelle.schluep:</t>
        </r>
        <r>
          <rPr>
            <sz val="10"/>
            <rFont val="Tahoma"/>
            <family val="2"/>
          </rPr>
          <t xml:space="preserve">
11= Isleta
NMAC = 11</t>
        </r>
      </text>
    </comment>
    <comment ref="Q99" authorId="2">
      <text>
        <r>
          <rPr>
            <b/>
            <sz val="8"/>
            <rFont val="Tahoma"/>
            <family val="0"/>
          </rPr>
          <t>Natalie Smith:</t>
        </r>
        <r>
          <rPr>
            <sz val="8"/>
            <rFont val="Tahoma"/>
            <family val="0"/>
          </rPr>
          <t xml:space="preserve">
cr III</t>
        </r>
      </text>
    </comment>
    <comment ref="O100" authorId="2">
      <text>
        <r>
          <rPr>
            <b/>
            <sz val="8"/>
            <rFont val="Tahoma"/>
            <family val="0"/>
          </rPr>
          <t>Natalie Smith:</t>
        </r>
        <r>
          <rPr>
            <sz val="8"/>
            <rFont val="Tahoma"/>
            <family val="0"/>
          </rPr>
          <t xml:space="preserve">
as cr iii
</t>
        </r>
      </text>
    </comment>
    <comment ref="O109" authorId="2">
      <text>
        <r>
          <rPr>
            <b/>
            <sz val="8"/>
            <rFont val="Tahoma"/>
            <family val="0"/>
          </rPr>
          <t>Natalie Smith:</t>
        </r>
        <r>
          <rPr>
            <sz val="8"/>
            <rFont val="Tahoma"/>
            <family val="0"/>
          </rPr>
          <t xml:space="preserve">
form not specified</t>
        </r>
      </text>
    </comment>
    <comment ref="B115" authorId="1">
      <text>
        <r>
          <rPr>
            <b/>
            <sz val="8"/>
            <rFont val="Tahoma"/>
            <family val="0"/>
          </rPr>
          <t>rachelle.schluep:</t>
        </r>
        <r>
          <rPr>
            <sz val="8"/>
            <rFont val="Tahoma"/>
            <family val="0"/>
          </rPr>
          <t xml:space="preserve">
0.056 = Sandia
0.056 = San Juan
0.056 = NMAC</t>
        </r>
      </text>
    </comment>
    <comment ref="F115" authorId="1">
      <text>
        <r>
          <rPr>
            <b/>
            <sz val="8"/>
            <rFont val="Tahoma"/>
            <family val="0"/>
          </rPr>
          <t>rachelle.schluep:</t>
        </r>
        <r>
          <rPr>
            <sz val="8"/>
            <rFont val="Tahoma"/>
            <family val="0"/>
          </rPr>
          <t xml:space="preserve">
2.5 = SC</t>
        </r>
      </text>
    </comment>
    <comment ref="G115" authorId="1">
      <text>
        <r>
          <rPr>
            <b/>
            <sz val="8"/>
            <rFont val="Tahoma"/>
            <family val="0"/>
          </rPr>
          <t>rachelle.schluep:</t>
        </r>
        <r>
          <rPr>
            <sz val="8"/>
            <rFont val="Tahoma"/>
            <family val="0"/>
          </rPr>
          <t xml:space="preserve">
0.056 = Sandia
0.056 = San Juan
0.056 = NMAC</t>
        </r>
      </text>
    </comment>
    <comment ref="F141" authorId="1">
      <text>
        <r>
          <rPr>
            <b/>
            <sz val="8"/>
            <rFont val="Tahoma"/>
            <family val="0"/>
          </rPr>
          <t>rachelle.schluep:</t>
        </r>
        <r>
          <rPr>
            <sz val="8"/>
            <rFont val="Tahoma"/>
            <family val="0"/>
          </rPr>
          <t xml:space="preserve">
2.4 = Isleta
2.4 = Santa Clara
</t>
        </r>
      </text>
    </comment>
    <comment ref="G141" authorId="1">
      <text>
        <r>
          <rPr>
            <b/>
            <sz val="8"/>
            <rFont val="Tahoma"/>
            <family val="0"/>
          </rPr>
          <t>rachelle.schluep:</t>
        </r>
        <r>
          <rPr>
            <sz val="8"/>
            <rFont val="Tahoma"/>
            <family val="0"/>
          </rPr>
          <t xml:space="preserve">
0.77 = San Juan
NMAC =0.77</t>
        </r>
      </text>
    </comment>
    <comment ref="A166" authorId="0">
      <text>
        <r>
          <rPr>
            <b/>
            <sz val="8"/>
            <rFont val="Tahoma"/>
            <family val="0"/>
          </rPr>
          <t>natalie.smith:</t>
        </r>
        <r>
          <rPr>
            <sz val="8"/>
            <rFont val="Tahoma"/>
            <family val="0"/>
          </rPr>
          <t xml:space="preserve">
0.996- CMC or 0.922- CCC - conversion factors</t>
        </r>
      </text>
    </comment>
    <comment ref="D166" authorId="0">
      <text>
        <r>
          <rPr>
            <b/>
            <sz val="8"/>
            <rFont val="Tahoma"/>
            <family val="0"/>
          </rPr>
          <t>natalie.smith:</t>
        </r>
        <r>
          <rPr>
            <sz val="8"/>
            <rFont val="Tahoma"/>
            <family val="0"/>
          </rPr>
          <t xml:space="preserve">
used EPA conversion for Pueblo data
</t>
        </r>
      </text>
    </comment>
    <comment ref="F166" authorId="0">
      <text>
        <r>
          <rPr>
            <b/>
            <sz val="8"/>
            <rFont val="Tahoma"/>
            <family val="0"/>
          </rPr>
          <t>natalie.smith:</t>
        </r>
        <r>
          <rPr>
            <sz val="8"/>
            <rFont val="Tahoma"/>
            <family val="0"/>
          </rPr>
          <t xml:space="preserve">
used EPA conversion for Pueblo data
</t>
        </r>
      </text>
    </comment>
    <comment ref="G166" authorId="0">
      <text>
        <r>
          <rPr>
            <b/>
            <sz val="8"/>
            <rFont val="Tahoma"/>
            <family val="0"/>
          </rPr>
          <t>natalie.smith:</t>
        </r>
        <r>
          <rPr>
            <sz val="8"/>
            <rFont val="Tahoma"/>
            <family val="0"/>
          </rPr>
          <t xml:space="preserve">
used EPA conversion for Pueblo data</t>
        </r>
      </text>
    </comment>
    <comment ref="B167" authorId="1">
      <text>
        <r>
          <rPr>
            <b/>
            <sz val="8"/>
            <rFont val="Tahoma"/>
            <family val="0"/>
          </rPr>
          <t>rachelle.schluep:</t>
        </r>
        <r>
          <rPr>
            <sz val="8"/>
            <rFont val="Tahoma"/>
            <family val="0"/>
          </rPr>
          <t xml:space="preserve">
5 = Isleta
5 = NMAC
Total Recoverable  Selenium</t>
        </r>
      </text>
    </comment>
    <comment ref="G167" authorId="1">
      <text>
        <r>
          <rPr>
            <b/>
            <sz val="8"/>
            <rFont val="Tahoma"/>
            <family val="0"/>
          </rPr>
          <t>rachelle.schluep:</t>
        </r>
        <r>
          <rPr>
            <sz val="8"/>
            <rFont val="Tahoma"/>
            <family val="0"/>
          </rPr>
          <t xml:space="preserve">
5 = Isleta
5 = NMAC</t>
        </r>
      </text>
    </comment>
  </commentList>
</comments>
</file>

<file path=xl/comments5.xml><?xml version="1.0" encoding="utf-8"?>
<comments xmlns="http://schemas.openxmlformats.org/spreadsheetml/2006/main">
  <authors>
    <author>natalie.smith</author>
  </authors>
  <commentList>
    <comment ref="A84" authorId="0">
      <text>
        <r>
          <rPr>
            <b/>
            <sz val="8"/>
            <rFont val="Tahoma"/>
            <family val="0"/>
          </rPr>
          <t>natalie.smith:</t>
        </r>
        <r>
          <rPr>
            <sz val="8"/>
            <rFont val="Tahoma"/>
            <family val="0"/>
          </rPr>
          <t xml:space="preserve">
0.996- CMC or 0.922- CCC - conversion factors</t>
        </r>
      </text>
    </comment>
  </commentList>
</comments>
</file>

<file path=xl/sharedStrings.xml><?xml version="1.0" encoding="utf-8"?>
<sst xmlns="http://schemas.openxmlformats.org/spreadsheetml/2006/main" count="6309" uniqueCount="822">
  <si>
    <t>Methoxychlor</t>
  </si>
  <si>
    <t>Synonym</t>
  </si>
  <si>
    <t>Source</t>
  </si>
  <si>
    <t xml:space="preserve">ug/kg </t>
  </si>
  <si>
    <t>EPA 1997 (as cited in Macdonald et al. 1999)</t>
  </si>
  <si>
    <t>ug/kg</t>
  </si>
  <si>
    <t>USEPA Region 5 RCRA Ecological Screening Levels 2003</t>
  </si>
  <si>
    <t>1-Hexanol, 2-ethyl-</t>
  </si>
  <si>
    <t>1-Methylnaphthalene</t>
  </si>
  <si>
    <t>Jones et al. 1997 (as cited in Hellyer and Balog 1999)</t>
  </si>
  <si>
    <t>Benchmarks for Phenanthrene</t>
  </si>
  <si>
    <t>1-Octanol</t>
  </si>
  <si>
    <t>Stortelder et al. 1989</t>
  </si>
  <si>
    <t>2-Fluorobiphenyl</t>
  </si>
  <si>
    <t>2-Methylnaphthalene</t>
  </si>
  <si>
    <t>Buchman 1999</t>
  </si>
  <si>
    <t>3-methylheptyl acetate</t>
  </si>
  <si>
    <t>4-Bromophenyl</t>
  </si>
  <si>
    <t>4-Chlorophenyl</t>
  </si>
  <si>
    <t xml:space="preserve">CCME 1999 (6) as cited in MacDonald et al. 2003 </t>
  </si>
  <si>
    <t>U.S. EPA. 1996. OSWER. Ecotox Thesholds. ECO Update.</t>
  </si>
  <si>
    <t>MacDonald et al. 1999 - Georgia Basin</t>
  </si>
  <si>
    <t>Persaud et al.1992 LEL and SEL (assumed 2% TOC)</t>
  </si>
  <si>
    <t>Alpha radioactivity</t>
  </si>
  <si>
    <t>Endosulfan I</t>
  </si>
  <si>
    <t>Alpha-pinene</t>
  </si>
  <si>
    <t>Ingersoll et al. 1996</t>
  </si>
  <si>
    <t>Americium-241</t>
  </si>
  <si>
    <t>Ammonia plus N</t>
  </si>
  <si>
    <t>MacDonald DD, Ingersoll CB, Berger TA. 2000</t>
  </si>
  <si>
    <t>Barrick et al. 1988</t>
  </si>
  <si>
    <t xml:space="preserve">MacDonald DD, Ingersoll CB, Berger TA. 2000 </t>
  </si>
  <si>
    <t xml:space="preserve">USEPA 1977as cited in MacDonald et al. 2003 </t>
  </si>
  <si>
    <t>Benzene,  1,4-bis(1-methylethyl)</t>
  </si>
  <si>
    <t>Benzo(a)anthracene</t>
  </si>
  <si>
    <t>Benzo(a)pyrene</t>
  </si>
  <si>
    <t>Benzo(b)fluoranthene</t>
  </si>
  <si>
    <t xml:space="preserve">USEPA 1996b (7) as cited in Hellyer and Balog 1999 </t>
  </si>
  <si>
    <t>Benzo(ghi)perylene</t>
  </si>
  <si>
    <t>Benzo(k)fluoranthene</t>
  </si>
  <si>
    <t>Beta-pinene</t>
  </si>
  <si>
    <t>Bicyclo[3.1.1]hept-2-ene, 3,6,</t>
  </si>
  <si>
    <t xml:space="preserve">MacDonald et al. 1996 (11) as cited in MacDonald et al. 2003 </t>
  </si>
  <si>
    <t>EPA 1977 (as Cited in MacDonald et al. 1999)</t>
  </si>
  <si>
    <t>MacDonald et al. 1999</t>
  </si>
  <si>
    <t>Cubbage et al. 1997</t>
  </si>
  <si>
    <t>Carbon (total)</t>
  </si>
  <si>
    <t>EPA 1997 (as cited in Macdonald et al 1999)</t>
  </si>
  <si>
    <t>Chlordane (technical)</t>
  </si>
  <si>
    <t>Stortelder et al. 1989 ( as cited in MacDonald et al. 1999)</t>
  </si>
  <si>
    <t>Persaud et al. 1993</t>
  </si>
  <si>
    <t>Cyclohexane, 1-methyl-4-(1-met</t>
  </si>
  <si>
    <t>Cyclohexene, 4-methyl-1-(1-met</t>
  </si>
  <si>
    <t>delta-BHC</t>
  </si>
  <si>
    <t>delta-HCH</t>
  </si>
  <si>
    <t>Dibenzo(a,h)anthracene</t>
  </si>
  <si>
    <t>MacDonald et al. (2000a)/CCME (1999)</t>
  </si>
  <si>
    <t xml:space="preserve">USEPA 1997 (9) as cited in MacDonald et al. 2003 </t>
  </si>
  <si>
    <t xml:space="preserve">Barrick et al. 1988 (8) as cited in Hellyer and Balog 1999 </t>
  </si>
  <si>
    <t>Dimethyl sulfide</t>
  </si>
  <si>
    <t xml:space="preserve">Cubbage et al. 1997 (10) as cited in MacDonald et al. 2003 </t>
  </si>
  <si>
    <t>Disulfide, dimethyl</t>
  </si>
  <si>
    <t>Dodecane, 1-iodo</t>
  </si>
  <si>
    <t>Eicosane</t>
  </si>
  <si>
    <t>U.S. EPA. 1996. Ecotox Thesholds. ECO Update.</t>
  </si>
  <si>
    <t>Endosulfan II</t>
  </si>
  <si>
    <t>Endosulfan sulfate</t>
  </si>
  <si>
    <t>Endrin aldehyde</t>
  </si>
  <si>
    <t>Gage</t>
  </si>
  <si>
    <t xml:space="preserve">Gross alpha radioactivity </t>
  </si>
  <si>
    <t xml:space="preserve">Gross beta radioactivity </t>
  </si>
  <si>
    <t>Heneicosane</t>
  </si>
  <si>
    <t xml:space="preserve">USEPA Region 5 RCRA Ecological Screening Levels 2003 &amp; Buchman 1999 </t>
  </si>
  <si>
    <t>Persaud et al . 1993 (as cited in MacDonald et al. 2003)</t>
  </si>
  <si>
    <t>Indeno(1,2,3-cd)pyrene</t>
  </si>
  <si>
    <t xml:space="preserve">USEPA 1996b (as cited in Hellyer and Balog 1999) </t>
  </si>
  <si>
    <t>Buet and others 2005</t>
  </si>
  <si>
    <t xml:space="preserve">Trout gills - 10 days of exposure to 500 µg/L uranium; endpoint is reduction in antioxidant enzyme activity </t>
  </si>
  <si>
    <t>Bolton et al. 1985 ( as Cited in MacDonald et al. 1999)</t>
  </si>
  <si>
    <t>Lead-210</t>
  </si>
  <si>
    <t>Methanethiol</t>
  </si>
  <si>
    <t>Stortelder et al. 1989 (as Cited in MacDonald et al. 1999)</t>
  </si>
  <si>
    <t>Bolton et al. 1985 (as cited in Macdonald et al. 1999)</t>
  </si>
  <si>
    <t>MENVIQ/EC 1992 ( As cited in Macdonald et al. 1999)</t>
  </si>
  <si>
    <t>Moisture</t>
  </si>
  <si>
    <t>Moisture (for all other analyses)</t>
  </si>
  <si>
    <t>Moisture (for VOC analyses)</t>
  </si>
  <si>
    <t xml:space="preserve">EPA 1997 </t>
  </si>
  <si>
    <t>Naphthalene, 1,6,-dimethyl</t>
  </si>
  <si>
    <t>Naphthalene, 2,3-dimethyl-</t>
  </si>
  <si>
    <t>n-Hexane Ext. Material</t>
  </si>
  <si>
    <t>2,4'-DDD</t>
  </si>
  <si>
    <t>2,4'-DDE</t>
  </si>
  <si>
    <t>2,4'-DDT</t>
  </si>
  <si>
    <t>Octadecane</t>
  </si>
  <si>
    <t>Orthophosphate</t>
  </si>
  <si>
    <t xml:space="preserve">Smith et al.  1996 (12) as cited in Hellyer and Balog 1999 </t>
  </si>
  <si>
    <t xml:space="preserve">FDEP 1994 (13) as cited in Hellyer and Balog 1999 </t>
  </si>
  <si>
    <t>EPA 1988 (as cited in Macdonald et al. 1999)</t>
  </si>
  <si>
    <t>Plutonium-238</t>
  </si>
  <si>
    <t>Plutonium-239</t>
  </si>
  <si>
    <t>Polonium-210</t>
  </si>
  <si>
    <t>SGT-HEM (Petroleum Hydrocarbons)</t>
  </si>
  <si>
    <t xml:space="preserve">NYSDEC 1999 (2) as cited in MacDonald et al. 2003 </t>
  </si>
  <si>
    <t>Sum DDD</t>
  </si>
  <si>
    <t>Sum DDE</t>
  </si>
  <si>
    <t>Sum DDT</t>
  </si>
  <si>
    <t>Terphenyl-d14</t>
  </si>
  <si>
    <t>EPA 1997 ( as cited in MacDonald et al. 1999)</t>
  </si>
  <si>
    <t>Tetradecane</t>
  </si>
  <si>
    <t>Total DDT</t>
  </si>
  <si>
    <t>Total organic carbon</t>
  </si>
  <si>
    <t>Total PAH</t>
  </si>
  <si>
    <t>Total PCB</t>
  </si>
  <si>
    <t>Tridecane</t>
  </si>
  <si>
    <t>Unknown</t>
  </si>
  <si>
    <t>Uranium-235</t>
  </si>
  <si>
    <t>2-Chloroethyl vinyl ether (total)</t>
  </si>
  <si>
    <t>2-Chlorophenol (total)</t>
  </si>
  <si>
    <t>2-Hexanone</t>
  </si>
  <si>
    <t>2-Methyl-4,6-dinitrophenol (total)</t>
  </si>
  <si>
    <t>2-Nitrophenol (total)</t>
  </si>
  <si>
    <t>3,3'-Dichlorobenzidine (total)</t>
  </si>
  <si>
    <t>4-Bromophenyl phenyl ether (total)</t>
  </si>
  <si>
    <t>4-Chloro-3-methylphenol (total) 
(3-Methyl-4-chlorophenol)</t>
  </si>
  <si>
    <t>4-Methyl-2-pentanone</t>
  </si>
  <si>
    <t>4-Nitrophenol (total)</t>
  </si>
  <si>
    <t>Acenaphthene (total)</t>
  </si>
  <si>
    <t>Acetone (total)</t>
  </si>
  <si>
    <t>Acrolein (total)</t>
  </si>
  <si>
    <t>Acrylonitrile (total)</t>
  </si>
  <si>
    <t>Alachlor (total)</t>
  </si>
  <si>
    <t>Aldicarb (total)</t>
  </si>
  <si>
    <t>Aldrin (total)</t>
  </si>
  <si>
    <t>mg/L as CaCO3</t>
  </si>
  <si>
    <t>alpha-Endosulfan (total)</t>
  </si>
  <si>
    <t>Sandia</t>
  </si>
  <si>
    <t>0.056</t>
  </si>
  <si>
    <t>Aluminum (dissolved)</t>
  </si>
  <si>
    <t>Aluminum (total)</t>
  </si>
  <si>
    <t>Ammonia (total) as nitrogen**</t>
  </si>
  <si>
    <t>mg/L as N</t>
  </si>
  <si>
    <t>Anthracene (total)</t>
  </si>
  <si>
    <t>Antimony (total)</t>
  </si>
  <si>
    <t>Aroclor 1221 (total)</t>
  </si>
  <si>
    <t>Aroclor 1232 (total)</t>
  </si>
  <si>
    <t>Aroclor 1242 (total)</t>
  </si>
  <si>
    <t>Aroclor 1248 (total)</t>
  </si>
  <si>
    <t>Aroclor 1254 (total)</t>
  </si>
  <si>
    <t>Aroclor 1260 (total)</t>
  </si>
  <si>
    <t>Arsenic (dissolved)</t>
  </si>
  <si>
    <t xml:space="preserve">Isleta
San Juan </t>
  </si>
  <si>
    <t>Atrazine (total)</t>
  </si>
  <si>
    <r>
      <t>Lowest Tribe Aquatic Water Quality Criteria</t>
    </r>
    <r>
      <rPr>
        <b/>
        <vertAlign val="superscript"/>
        <sz val="9"/>
        <rFont val="Arial"/>
        <family val="2"/>
      </rPr>
      <t>a</t>
    </r>
  </si>
  <si>
    <r>
      <t>Canadian Environmental Quality Guidelines
(Rev. 1996)</t>
    </r>
    <r>
      <rPr>
        <b/>
        <vertAlign val="superscript"/>
        <sz val="9"/>
        <rFont val="Arial"/>
        <family val="2"/>
      </rPr>
      <t>b</t>
    </r>
  </si>
  <si>
    <r>
      <t>British 
Columbia
(Rev. 2001)</t>
    </r>
    <r>
      <rPr>
        <b/>
        <vertAlign val="superscript"/>
        <sz val="9"/>
        <rFont val="Arial"/>
        <family val="2"/>
      </rPr>
      <t>b</t>
    </r>
  </si>
  <si>
    <r>
      <t>NYSDEC
(Rev. 1999)</t>
    </r>
    <r>
      <rPr>
        <b/>
        <vertAlign val="superscript"/>
        <sz val="9"/>
        <rFont val="Arial"/>
        <family val="2"/>
      </rPr>
      <t>b</t>
    </r>
  </si>
  <si>
    <r>
      <t>Alkalinity, as CaCO</t>
    </r>
    <r>
      <rPr>
        <vertAlign val="subscript"/>
        <sz val="9"/>
        <color indexed="8"/>
        <rFont val="Arial"/>
        <family val="2"/>
      </rPr>
      <t>3</t>
    </r>
    <r>
      <rPr>
        <sz val="9"/>
        <color indexed="8"/>
        <rFont val="Arial"/>
        <family val="2"/>
      </rPr>
      <t xml:space="preserve"> (dissolved)</t>
    </r>
  </si>
  <si>
    <r>
      <t>Methyl parathion (total)</t>
    </r>
    <r>
      <rPr>
        <vertAlign val="superscript"/>
        <sz val="9"/>
        <color indexed="8"/>
        <rFont val="Arial"/>
        <family val="2"/>
      </rPr>
      <t>2</t>
    </r>
  </si>
  <si>
    <r>
      <t>62</t>
    </r>
    <r>
      <rPr>
        <vertAlign val="superscript"/>
        <sz val="9"/>
        <rFont val="Arial"/>
        <family val="2"/>
      </rPr>
      <t>3</t>
    </r>
  </si>
  <si>
    <r>
      <t>5</t>
    </r>
    <r>
      <rPr>
        <vertAlign val="superscript"/>
        <sz val="9"/>
        <rFont val="Arial"/>
        <family val="2"/>
      </rPr>
      <t>3</t>
    </r>
  </si>
  <si>
    <r>
      <t>Bold</t>
    </r>
    <r>
      <rPr>
        <sz val="8"/>
        <rFont val="Arial"/>
        <family val="2"/>
      </rPr>
      <t xml:space="preserve"> values are those criteria values used in the screening process</t>
    </r>
  </si>
  <si>
    <r>
      <t>a</t>
    </r>
    <r>
      <rPr>
        <sz val="8"/>
        <rFont val="Arial"/>
        <family val="2"/>
      </rPr>
      <t xml:space="preserve"> Criteria was evaluated from Isleta, Sandia, San Juan, and Santa Clara Pueblos</t>
    </r>
  </si>
  <si>
    <r>
      <t xml:space="preserve">b  </t>
    </r>
    <r>
      <rPr>
        <sz val="8"/>
        <rFont val="Arial"/>
        <family val="2"/>
      </rPr>
      <t>Values listed do not represent all available benchmarks for the specified guidelines; data shown were included to supplement data gaps</t>
    </r>
  </si>
  <si>
    <r>
      <t>1</t>
    </r>
    <r>
      <rPr>
        <sz val="8"/>
        <rFont val="Arial"/>
        <family val="2"/>
      </rPr>
      <t xml:space="preserve"> Dissolved mercury was calculated by multiplying total mercury concentrations by the Federal Standard conversion factor of 0.85</t>
    </r>
  </si>
  <si>
    <r>
      <t xml:space="preserve">2  </t>
    </r>
    <r>
      <rPr>
        <sz val="8"/>
        <rFont val="Arial"/>
        <family val="2"/>
      </rPr>
      <t>Acute value applies to methyl parathion only; chronic value applies to sum of parathion and methyl parathion.</t>
    </r>
  </si>
  <si>
    <r>
      <t xml:space="preserve">3 </t>
    </r>
    <r>
      <rPr>
        <sz val="8"/>
        <rFont val="Arial"/>
        <family val="2"/>
      </rPr>
      <t>Michigan value for selenium includes selenium plus inorganic salts</t>
    </r>
  </si>
  <si>
    <t>Azinphos-methyl (total)</t>
  </si>
  <si>
    <t>Barium (total)*</t>
  </si>
  <si>
    <t>Benzene (total)</t>
  </si>
  <si>
    <t>Benzidine (total)</t>
  </si>
  <si>
    <t>Benzo[a]anthracene (total)</t>
  </si>
  <si>
    <t>Benzo[a]pyrene (total)</t>
  </si>
  <si>
    <t>Benzyl alcohol (total)</t>
  </si>
  <si>
    <t>beta-Endosulfan (total)</t>
  </si>
  <si>
    <t>Bis(2-chloroethyl) ether (total)</t>
  </si>
  <si>
    <t>Bis(2-ethylhexyl) adipate (total) [Di(2-ethylhexyl) adipate]</t>
  </si>
  <si>
    <t>Carbon tetrachloride (total)  (Tetrachloromethane)</t>
  </si>
  <si>
    <r>
      <t>Oakridge values
(Rev. 1996)</t>
    </r>
  </si>
  <si>
    <t>1,2-Dichloroethene (total)</t>
  </si>
  <si>
    <t>Arsenic (total)</t>
  </si>
  <si>
    <t>Bromoxynil</t>
  </si>
  <si>
    <t>Uranium (natural) (total)</t>
  </si>
  <si>
    <t xml:space="preserve">HMX (total) </t>
  </si>
  <si>
    <t>Molybdenum (total)</t>
  </si>
  <si>
    <t>Beryllium (total)*</t>
  </si>
  <si>
    <t>1,2-Dibromoethane</t>
  </si>
  <si>
    <t>Chromium III  (total)*</t>
  </si>
  <si>
    <t>Chromium IV (total)</t>
  </si>
  <si>
    <t>Chromium III  (dissolved)*</t>
  </si>
  <si>
    <t>Chromium IV (dissolved)</t>
  </si>
  <si>
    <t>Sandia
Isleta</t>
  </si>
  <si>
    <t>Beryllium (dissolved)</t>
  </si>
  <si>
    <t>Santa Clara</t>
  </si>
  <si>
    <t>Isleta
Sandia
San Juan
Santa Clara</t>
  </si>
  <si>
    <t xml:space="preserve">
Sandia
San Juan - acute
Santa Clara - chronic</t>
  </si>
  <si>
    <t>96 hour, marine; pinfish survival; NOEC from uncertainty factor of 10</t>
  </si>
  <si>
    <t xml:space="preserve">Rainbow trout survival, 42 day diet exposure, 171 g fish; Salmon alvin, water exposure (43 days), whole body </t>
  </si>
  <si>
    <t>Rainbow trout survival, 30 day water exposure</t>
  </si>
  <si>
    <t>Bluegill juvenile 112 day exposure; Survival and growth endpoints</t>
  </si>
  <si>
    <t>No tissue residue-effects data available.</t>
  </si>
  <si>
    <t>USACE 2004</t>
  </si>
  <si>
    <t>Survival no effect concentration for Bluegills</t>
  </si>
  <si>
    <t>Sandia
San Juan
Santa Clara</t>
  </si>
  <si>
    <t>San Juan -acute#
Sandia - acute#
Santa Clara - chronic#</t>
  </si>
  <si>
    <t>Biochemical endpoints, rainbow trout;  Jarvinen and Ankley report a rainbow trout data record based on 180 day exposure, tissue - kidney, liver, and muscle, survival no effect concentrations of 3.48, 1.98, 0.58 mg/kg</t>
  </si>
  <si>
    <t xml:space="preserve">Egg-larval survival, common carp, </t>
  </si>
  <si>
    <t xml:space="preserve">Growth no effects residue for juvenile rainbow trout; </t>
  </si>
  <si>
    <t>Pinfish (marine) whole body residues, 4-day exposure</t>
  </si>
  <si>
    <t>Fathead minnow, 300 d exposure, combined water and diet, survival, technical grade endrin</t>
  </si>
  <si>
    <t>Endrin ketone</t>
  </si>
  <si>
    <t xml:space="preserve">Fathead minnow exposure (304 days) based on survival; </t>
  </si>
  <si>
    <t>gamma-Chlordane</t>
  </si>
  <si>
    <t>Fathead minnow 276 day exposure, water, survival no effect for larvae to adult period, eviscerated carcass</t>
  </si>
  <si>
    <t>Fathead minnow whole body, 28 day exposure, survival and growth endpoints</t>
  </si>
  <si>
    <t>Egg mortality and hatching success, common carp no effect concentration</t>
  </si>
  <si>
    <t>FHM juveniles in water exposure, biochemical endpoint</t>
  </si>
  <si>
    <t>336 day fathead minnow exposure larvae to adult, survival and growth endpoints</t>
  </si>
  <si>
    <t>MeHg exposure in food, fathead minnow</t>
  </si>
  <si>
    <t>FHM adult exposure 295 days, whole body residue, growth endpoint; FHM fry exposure 30 days,  whole body residue, growth endpoint</t>
  </si>
  <si>
    <t>Adult Flagfish, 96 day exposure, whole body, survival, growth, reproduction endpoints; Larval Flagfish, 28 day exposure, whole body, survival endpoint.</t>
  </si>
  <si>
    <t>Larvae  to adult Flagfish, 100 day exposure, whole body, growth endpoint</t>
  </si>
  <si>
    <t>Notes:</t>
  </si>
  <si>
    <t>2. Tissue residues were primarily extracted from one of two primary databases:</t>
  </si>
  <si>
    <t>Jarvinen, A.W. and G.T. Ankley.  1999.  Linkage of effects to tissue residues:  Development of a comprehensive database for aquatic organisms exposed to inorganic and organic chemicals.  Society of Environmental Toxicology and Chemistry (SETAC) Press, Pensacola, Florida.</t>
  </si>
  <si>
    <t>USACE. 2003.  Environmental Residue Effects Database.  US Army Corps of Engineers.  http://el.erdc.usace.army.mil/ered/Index.cfm</t>
  </si>
  <si>
    <t>3.  When fathead minnow whole body residue data were available, these data were preferentially selected for use.  If fathead minnow data were not available, warm water fish species tissue data were considered, if these types of data were not available, then tissue residues for a salmonid or other freshwater species were selected.</t>
  </si>
  <si>
    <t>4.  Marine species were selected only if alterantives tissue residue data as indicated above were not available.</t>
  </si>
  <si>
    <t>5.  Whole body residues were selected for this evaluation; tissue specific residues were only used if no whole body data were avalable.</t>
  </si>
  <si>
    <t>6.  Growth and/or reproduction endpoints were preferred endpoints for this assessment, although survival data were used if growth and/or reproduction endpoint data were not available.</t>
  </si>
  <si>
    <t>7.  Longer term exposures were preferentially selected over short-term exposures.</t>
  </si>
  <si>
    <t>8.  Shaded parameters were not considered as potentially toxic bioaccumulors and were not evaluated.</t>
  </si>
  <si>
    <t>NER = No effects residue</t>
  </si>
  <si>
    <t>LER = Lowest effect residue</t>
  </si>
  <si>
    <t>Screening Criteria</t>
  </si>
  <si>
    <t>PEC = Probable Effects Concentration defined as the concentration above which adverse effects are expected to occur more often than not.</t>
  </si>
  <si>
    <t>TEC and PECs are terms used to identify low or no screening levels and upper or probable levels of effects.  Not all values presented in this table are TECs and PECs as derived by MacDonald et al. 2000.</t>
  </si>
  <si>
    <t>2,2'-Biquinoline</t>
  </si>
  <si>
    <t>2,3,6-Trimethylnaphthalene</t>
  </si>
  <si>
    <t>2,4,5-T</t>
  </si>
  <si>
    <t>2,4-D</t>
  </si>
  <si>
    <t>2,4-Dimethylphenol</t>
  </si>
  <si>
    <t>2,4-Dinitrotoluene</t>
  </si>
  <si>
    <t>2,6-Dimethylnaphthalene</t>
  </si>
  <si>
    <t>2,6-Dinitrotoluene</t>
  </si>
  <si>
    <t>2-Chloronaphthalene</t>
  </si>
  <si>
    <t>2-Chlorophenol</t>
  </si>
  <si>
    <t>2-Ethylnaphthalene</t>
  </si>
  <si>
    <t>2-Methylanthracene</t>
  </si>
  <si>
    <t>3,5-Dimethylphenol</t>
  </si>
  <si>
    <t>4-Chloro-3-methylphenol</t>
  </si>
  <si>
    <t>4H-Cyclopenta[def]phenanthrene</t>
  </si>
  <si>
    <t>9,10-Anthraquinone</t>
  </si>
  <si>
    <t>9H-Fluorene</t>
  </si>
  <si>
    <t>Acenaphthene</t>
  </si>
  <si>
    <t>Acenaphthylene</t>
  </si>
  <si>
    <t>Acridine</t>
  </si>
  <si>
    <t>Aldrin</t>
  </si>
  <si>
    <t>alpha-Endosulfan</t>
  </si>
  <si>
    <t>alpha-HCH</t>
  </si>
  <si>
    <t>Aluminum</t>
  </si>
  <si>
    <t>Ammonia</t>
  </si>
  <si>
    <t>Anthracene</t>
  </si>
  <si>
    <t>Antimony</t>
  </si>
  <si>
    <t>Arsenic</t>
  </si>
  <si>
    <t>Azobenzene</t>
  </si>
  <si>
    <t>Barium</t>
  </si>
  <si>
    <t>Benzo[a]anthracene</t>
  </si>
  <si>
    <t>Benzo[a]pyrene</t>
  </si>
  <si>
    <t>Benzo[b]fluoranthene</t>
  </si>
  <si>
    <t>Benzo[c]cinnoline</t>
  </si>
  <si>
    <t>Benzo[g,h,i]perylene</t>
  </si>
  <si>
    <t>Benzo[k]fluoranthene</t>
  </si>
  <si>
    <t>Benzyl n-butyl phthalate</t>
  </si>
  <si>
    <t>Beryllium</t>
  </si>
  <si>
    <t>beta-HCH</t>
  </si>
  <si>
    <t>Bis(2-chloroethoxy)methane</t>
  </si>
  <si>
    <t>Bis(2-ethylhexyl) phthalate</t>
  </si>
  <si>
    <t>Bismuth</t>
  </si>
  <si>
    <t>Boron</t>
  </si>
  <si>
    <t>C8-Alkylphenol</t>
  </si>
  <si>
    <t>Cadmium</t>
  </si>
  <si>
    <t>Calcium</t>
  </si>
  <si>
    <t>Carbazole</t>
  </si>
  <si>
    <t>Adult Life Stages</t>
  </si>
  <si>
    <t>Early Life Stages</t>
  </si>
  <si>
    <t xml:space="preserve">NER </t>
  </si>
  <si>
    <t xml:space="preserve">LER </t>
  </si>
  <si>
    <t>DDT and metabolites</t>
  </si>
  <si>
    <t>Beckvar et al. 2005</t>
  </si>
  <si>
    <t>Effects data are for DDT and metabolites and based on Fathead minnow exposures</t>
  </si>
  <si>
    <t>Jarvinen and Ankley 1999</t>
  </si>
  <si>
    <t>Growth no effects residue for juvenile rainbow trout; Based on effects data for dieldrin.</t>
  </si>
  <si>
    <t>Fathead minnow exposure (304 days) based on survival; Lindane effects used as a surrogate</t>
  </si>
  <si>
    <t>alpha-Chlordane</t>
  </si>
  <si>
    <t>Parrish et al. 1976</t>
  </si>
  <si>
    <t>o,p'-DDT</t>
  </si>
  <si>
    <t>o,p'-Methoxychlor</t>
  </si>
  <si>
    <t>Organic carbon</t>
  </si>
  <si>
    <t>Oxychlordane</t>
  </si>
  <si>
    <t>p,p'-DDD</t>
  </si>
  <si>
    <t>p,p'-DDE</t>
  </si>
  <si>
    <t>p,p'-DDT</t>
  </si>
  <si>
    <t>p,p'-Ethyl-DDD</t>
  </si>
  <si>
    <t>p,p'-Methoxychlor</t>
  </si>
  <si>
    <t>Parathion</t>
  </si>
  <si>
    <t>PCBs</t>
  </si>
  <si>
    <t>p-Cresol</t>
  </si>
  <si>
    <t>Pentachloroanisole</t>
  </si>
  <si>
    <t>Pentachloronitrobenzene</t>
  </si>
  <si>
    <t>Phenanthrene</t>
  </si>
  <si>
    <t>Phenanthridine</t>
  </si>
  <si>
    <t>Phenol</t>
  </si>
  <si>
    <t>Phosphorus</t>
  </si>
  <si>
    <t>Picloram</t>
  </si>
  <si>
    <t>Polychlorinated naphthalenes</t>
  </si>
  <si>
    <t>Potassium</t>
  </si>
  <si>
    <t>Pyrene</t>
  </si>
  <si>
    <t>Quinoline</t>
  </si>
  <si>
    <t>Radium-226</t>
  </si>
  <si>
    <t>Radium-228</t>
  </si>
  <si>
    <t>Scandium</t>
  </si>
  <si>
    <t>Selenium</t>
  </si>
  <si>
    <t>Silver</t>
  </si>
  <si>
    <t>Silvex</t>
  </si>
  <si>
    <t>Sodium</t>
  </si>
  <si>
    <t>Strontium</t>
  </si>
  <si>
    <t>Sulfur</t>
  </si>
  <si>
    <t>Tantalum</t>
  </si>
  <si>
    <t>Thorium</t>
  </si>
  <si>
    <t>Thorium-230</t>
  </si>
  <si>
    <t>Thorium-232</t>
  </si>
  <si>
    <t>Tin</t>
  </si>
  <si>
    <t>Toxaphene</t>
  </si>
  <si>
    <t>trans-Chlordane</t>
  </si>
  <si>
    <t>trans-Nonachlor</t>
  </si>
  <si>
    <t>trans-Permethrin</t>
  </si>
  <si>
    <t>Uranium</t>
  </si>
  <si>
    <t>Uranium-234</t>
  </si>
  <si>
    <t>Uranium-238</t>
  </si>
  <si>
    <t>Vanadium</t>
  </si>
  <si>
    <t>Ytterbium</t>
  </si>
  <si>
    <t>Yttrium</t>
  </si>
  <si>
    <t>Zinc</t>
  </si>
  <si>
    <t>LER</t>
  </si>
  <si>
    <t>Bluegill juvenile in 180 day exposure; NER based on survival, LER based on survival and growth</t>
  </si>
  <si>
    <t/>
  </si>
  <si>
    <t>mg/kg</t>
  </si>
  <si>
    <t>1,1,1-Trichloroethane</t>
  </si>
  <si>
    <t>Bromoform</t>
  </si>
  <si>
    <t>Ethylbenzene</t>
  </si>
  <si>
    <t>1,1,2,2-Tetrachloroethane</t>
  </si>
  <si>
    <t>Bromomethane</t>
  </si>
  <si>
    <t>Yearling Brook trout, diet exposure, 30 days, surivival and growth endpoints;  Fingerling rainbow trout,water exposure, survival no effects.</t>
  </si>
  <si>
    <t>Fathead minnow whole body, 120 day exposure, reproduction endpoint</t>
  </si>
  <si>
    <t>No whole body data available, common carp 15 day exposure, gill residue</t>
  </si>
  <si>
    <t>Nonachlor</t>
  </si>
  <si>
    <t>Chlordane metabolite, use threshold for chlordane</t>
  </si>
  <si>
    <t>Fisher et al. 1994</t>
  </si>
  <si>
    <t>Egg exposure, Atlantic salmon</t>
  </si>
  <si>
    <t>1,2-Dichloropropane</t>
  </si>
  <si>
    <t>1,3,5-Trinitrobenzene</t>
  </si>
  <si>
    <t xml:space="preserve">** Ammonia values determined using a pH of 8.4 and a temperature of 30 deg. C. </t>
  </si>
  <si>
    <t>1,3-Dinitrobenzene</t>
  </si>
  <si>
    <t>Chloride</t>
  </si>
  <si>
    <t>Chlorobenzene</t>
  </si>
  <si>
    <t>Chloroethane</t>
  </si>
  <si>
    <t>Chloroform</t>
  </si>
  <si>
    <t>2,4,6-Trinitrotoluene</t>
  </si>
  <si>
    <t>Chloromethane</t>
  </si>
  <si>
    <t>Styrene</t>
  </si>
  <si>
    <t>cis-1,2-Dichloroethene</t>
  </si>
  <si>
    <t>Sulfate</t>
  </si>
  <si>
    <t>2-Amino-4,6-dinitrotoluene</t>
  </si>
  <si>
    <t>cis-1,3-Dichloropropene</t>
  </si>
  <si>
    <t>2-Butanone (MEK)</t>
  </si>
  <si>
    <t>Tetrachloroethene</t>
  </si>
  <si>
    <t>2-Nitrotoluene</t>
  </si>
  <si>
    <t>3-Nitrotoluene</t>
  </si>
  <si>
    <t>Cyanide, Total</t>
  </si>
  <si>
    <t>Methylene chloride</t>
  </si>
  <si>
    <t>Tetryl</t>
  </si>
  <si>
    <t>4-Amino-2,6-dinitrotoluene</t>
  </si>
  <si>
    <t>Thallium</t>
  </si>
  <si>
    <t>4-Nitrotoluene</t>
  </si>
  <si>
    <t>m-Xylene &amp; p-Xylene</t>
  </si>
  <si>
    <t>Acetic acid, 2-ethylhexyl este</t>
  </si>
  <si>
    <t>Acetone</t>
  </si>
  <si>
    <t>Nitrate</t>
  </si>
  <si>
    <t>Toluene</t>
  </si>
  <si>
    <t>Nitrate-Nitrite</t>
  </si>
  <si>
    <t>Dibromochloromethane</t>
  </si>
  <si>
    <t>Nitrite</t>
  </si>
  <si>
    <t>Total Kjeldahl Nitrogen</t>
  </si>
  <si>
    <t>Total phosphorus</t>
  </si>
  <si>
    <t>Ammonia as N</t>
  </si>
  <si>
    <t>Nitroglycerin</t>
  </si>
  <si>
    <t>trans-1,2-Dichloroethene</t>
  </si>
  <si>
    <t>trans-1,3-Dichloropropene</t>
  </si>
  <si>
    <t>Trichloroethene</t>
  </si>
  <si>
    <t>AMV = Acute maximum value</t>
  </si>
  <si>
    <t>o-Xylene</t>
  </si>
  <si>
    <t>Benzene</t>
  </si>
  <si>
    <t>PETN</t>
  </si>
  <si>
    <t>Vinyl chloride</t>
  </si>
  <si>
    <t>Phosphate as P, Ortho</t>
  </si>
  <si>
    <t>Bromide</t>
  </si>
  <si>
    <t>Bromodichloromethane</t>
  </si>
  <si>
    <t>Comment</t>
  </si>
  <si>
    <t>NA</t>
  </si>
  <si>
    <t>1,4-Dichlorobenzene</t>
  </si>
  <si>
    <t>1,6-Dimethylnaphthalene</t>
  </si>
  <si>
    <t>1-Methyl-9H-fluorene</t>
  </si>
  <si>
    <t>1-Methylphenanthrene</t>
  </si>
  <si>
    <t>1-Methylpyrene</t>
  </si>
  <si>
    <t>4,4'-DDD</t>
  </si>
  <si>
    <t>4,4'-DDE</t>
  </si>
  <si>
    <t>4,4'-DDT</t>
  </si>
  <si>
    <t>alpha-BHC</t>
  </si>
  <si>
    <t>Carbophenothion</t>
  </si>
  <si>
    <t>Cerium</t>
  </si>
  <si>
    <t>Chloroneb</t>
  </si>
  <si>
    <t>Chromium</t>
  </si>
  <si>
    <t>Chrysene</t>
  </si>
  <si>
    <t>cis-Chlordane</t>
  </si>
  <si>
    <t>cis-Nonachlor</t>
  </si>
  <si>
    <t>cis-Permethrin</t>
  </si>
  <si>
    <t>Cobalt</t>
  </si>
  <si>
    <t>Copper</t>
  </si>
  <si>
    <t>DCPA</t>
  </si>
  <si>
    <t>Diazinon</t>
  </si>
  <si>
    <t>Dibenzo[a,h]anthracene</t>
  </si>
  <si>
    <t>Dibenzothiophene</t>
  </si>
  <si>
    <t>Dicamba</t>
  </si>
  <si>
    <t>Dieldrin</t>
  </si>
  <si>
    <t>Diethyl phthalate</t>
  </si>
  <si>
    <t>Dimethyl phthalate</t>
  </si>
  <si>
    <t>Di-n-butyl phthalate</t>
  </si>
  <si>
    <t>Di-n-octyl phthalate</t>
  </si>
  <si>
    <t>Endrin</t>
  </si>
  <si>
    <t>Ethion</t>
  </si>
  <si>
    <t>Europium</t>
  </si>
  <si>
    <t>Fluoranthene</t>
  </si>
  <si>
    <t>Gallium</t>
  </si>
  <si>
    <t>Gold</t>
  </si>
  <si>
    <t>Heptachlor</t>
  </si>
  <si>
    <t>Heptachlor epoxide</t>
  </si>
  <si>
    <t>Hexachlorobenzene</t>
  </si>
  <si>
    <t>Holmium</t>
  </si>
  <si>
    <t>Indeno[1,2,3-cd]pyrene</t>
  </si>
  <si>
    <t>Inorganic carbon</t>
  </si>
  <si>
    <t>Iron</t>
  </si>
  <si>
    <t>Isodrin</t>
  </si>
  <si>
    <t>Isophorone</t>
  </si>
  <si>
    <t>Isoquinoline</t>
  </si>
  <si>
    <t>Lanthanum</t>
  </si>
  <si>
    <t>Lead</t>
  </si>
  <si>
    <t>Lindane</t>
  </si>
  <si>
    <t>Lithium</t>
  </si>
  <si>
    <t>Magnesium</t>
  </si>
  <si>
    <t>Malathion</t>
  </si>
  <si>
    <t>Manganese</t>
  </si>
  <si>
    <t>Mercury</t>
  </si>
  <si>
    <t>Methyl parathion</t>
  </si>
  <si>
    <t>Mirex</t>
  </si>
  <si>
    <t>Molybdenum</t>
  </si>
  <si>
    <t>Naphthalene</t>
  </si>
  <si>
    <t>Neodymium</t>
  </si>
  <si>
    <t>Nickel</t>
  </si>
  <si>
    <t>Niobium</t>
  </si>
  <si>
    <t>Nitrobenzene</t>
  </si>
  <si>
    <t>N-Nitrosodi-n-propylamine</t>
  </si>
  <si>
    <t>N-Nitrosodiphenylamine</t>
  </si>
  <si>
    <t>o,p'-DDD</t>
  </si>
  <si>
    <t>o,p'-DDE</t>
  </si>
  <si>
    <t>beta-BHC</t>
  </si>
  <si>
    <t>Chlordane</t>
  </si>
  <si>
    <t>Fluorene</t>
  </si>
  <si>
    <t>gamma-BHC (Lindane)</t>
  </si>
  <si>
    <t>1,1,2-Trichloroethane</t>
  </si>
  <si>
    <t>1,1-Dichloroethane</t>
  </si>
  <si>
    <t>1,1-Dichloroethene</t>
  </si>
  <si>
    <t>Fluoride</t>
  </si>
  <si>
    <t>1,2-Dichloroethane</t>
  </si>
  <si>
    <t>Carbon disulfide</t>
  </si>
  <si>
    <t>RDX</t>
  </si>
  <si>
    <t>Carbon tetrachloride</t>
  </si>
  <si>
    <t>HMX</t>
  </si>
  <si>
    <t>-- = no value</t>
  </si>
  <si>
    <t xml:space="preserve">TEC = Threshold Effects Concentration defined as the concentration below which adverse effects are not expected to occur.  </t>
  </si>
  <si>
    <t>* Calculated values using a hardness of 175 mg/L</t>
  </si>
  <si>
    <t>Unit</t>
  </si>
  <si>
    <t xml:space="preserve">Lowest Tribe Aquatic Water Quality Criteria Reference </t>
  </si>
  <si>
    <t>NMAC 20.6.4</t>
  </si>
  <si>
    <t>EPA 2002 Water Quality Criteria</t>
  </si>
  <si>
    <t>Tier II Values</t>
  </si>
  <si>
    <t>Region IV</t>
  </si>
  <si>
    <t>Analyte</t>
  </si>
  <si>
    <t>Units</t>
  </si>
  <si>
    <t>Acute 
(ug/L)</t>
  </si>
  <si>
    <t>Chronic 
(ug/L)</t>
  </si>
  <si>
    <t>Pueblo</t>
  </si>
  <si>
    <t>CMC 
(ug/L)</t>
  </si>
  <si>
    <t>CCC 
(ug/L)</t>
  </si>
  <si>
    <t>SAV
(ug/L)</t>
  </si>
  <si>
    <t xml:space="preserve">
SCV
(ug/L)</t>
  </si>
  <si>
    <t>ASV
(ug/L)</t>
  </si>
  <si>
    <t>CSV
(ug/L)</t>
  </si>
  <si>
    <t>Chronic
(ug/L)</t>
  </si>
  <si>
    <t>1,1,1-Trichloroethane (total)</t>
  </si>
  <si>
    <t>ug/L</t>
  </si>
  <si>
    <t>--</t>
  </si>
  <si>
    <t>1,1,2,2-Tetrachloroethane (total)</t>
  </si>
  <si>
    <t>1,1,2-Trichloro-1,2,2-trifluoroethane (total)</t>
  </si>
  <si>
    <t>1,1,2-Trichloroethane (total)</t>
  </si>
  <si>
    <t>1,1-Dichloroethane (total)</t>
  </si>
  <si>
    <t>1,2,3-Trichlorobenzene (total)</t>
  </si>
  <si>
    <t>1,2,4-Trichlorobenzene (total)</t>
  </si>
  <si>
    <t>1,2,4-Trimethylbenzene (total)</t>
  </si>
  <si>
    <t>1,2-Dichlorobenzene (total)</t>
  </si>
  <si>
    <t>1,2-Dichloroethane (total)</t>
  </si>
  <si>
    <t>1,2-Dichloropropane (total)</t>
  </si>
  <si>
    <t>1,2-Diphenylhydrazine (total)</t>
  </si>
  <si>
    <t>1,3,5-Trimethylbenzene (total)</t>
  </si>
  <si>
    <t>1,3-Dichlorobenzene (total)</t>
  </si>
  <si>
    <t>1,3-Dichloropropene (total)</t>
  </si>
  <si>
    <t>1,4-Dichlorobenzene (total)</t>
  </si>
  <si>
    <t>2,4,6-Trichlorophenol (total)</t>
  </si>
  <si>
    <t>2,4-D (total)</t>
  </si>
  <si>
    <t>2,4-Dichlorophenol (total)</t>
  </si>
  <si>
    <t>2,4-Dimethylphenol (total)</t>
  </si>
  <si>
    <t>2,4-Dinitrophenol (total)</t>
  </si>
  <si>
    <t>2,4-Dinitrotoluene (total)</t>
  </si>
  <si>
    <t>Bis(2-ethylhexyl) phthalate (total) [Di(2-ethylhexyl) phthalate]</t>
  </si>
  <si>
    <t>&lt;0.3</t>
  </si>
  <si>
    <t>Boron (total)</t>
  </si>
  <si>
    <t>Bromacil (total)</t>
  </si>
  <si>
    <t>Bromoform (Tribromomethane; total)</t>
  </si>
  <si>
    <t>Bromomethane  (methyl bromide) (total)</t>
  </si>
  <si>
    <t>Cadmium (dissolved)*</t>
  </si>
  <si>
    <t>Isleta</t>
  </si>
  <si>
    <t>Cadmium (total)*</t>
  </si>
  <si>
    <t>Carbaryl (total)</t>
  </si>
  <si>
    <t>Carbofuran (total)</t>
  </si>
  <si>
    <t>Chlordane (total)</t>
  </si>
  <si>
    <t>Sandia
Isleta
San Juan</t>
  </si>
  <si>
    <t>Chloride (dissolved)</t>
  </si>
  <si>
    <t>mg/L</t>
  </si>
  <si>
    <t>Chlorine (total residual) (total)</t>
  </si>
  <si>
    <t>Chlorobenzene (total)</t>
  </si>
  <si>
    <t>Chloroethane (total)</t>
  </si>
  <si>
    <t>Chloroform (Trichloromethane; Total)</t>
  </si>
  <si>
    <t>Chloromethane  (methyl chloride) (total)</t>
  </si>
  <si>
    <t>Chlorothalonil (total)</t>
  </si>
  <si>
    <t>Chlorpyrifos (total)</t>
  </si>
  <si>
    <t>Chromium (dissolved)*</t>
  </si>
  <si>
    <t>Chromium (total)*</t>
  </si>
  <si>
    <t>cis-1,2-Dichloroethene (total)</t>
  </si>
  <si>
    <t>Cobalt (total)</t>
  </si>
  <si>
    <t>Copper (dissolved)*</t>
  </si>
  <si>
    <t>Isleta
San Juan
Sandia</t>
  </si>
  <si>
    <t>Copper (total)*</t>
  </si>
  <si>
    <t>Cyanide, free</t>
  </si>
  <si>
    <t xml:space="preserve">Sandia
</t>
  </si>
  <si>
    <t>Cyanide (total)</t>
  </si>
  <si>
    <t>Demeton</t>
  </si>
  <si>
    <t>Diazinon (total)</t>
  </si>
  <si>
    <t>Dibenzofuran (total)</t>
  </si>
  <si>
    <t>Dicamba (total)</t>
  </si>
  <si>
    <t>Dieldrin (total)</t>
  </si>
  <si>
    <t>Sandia
San Juan</t>
  </si>
  <si>
    <t>0.24</t>
  </si>
  <si>
    <t>Diethyl phthalate (total)</t>
  </si>
  <si>
    <t>Dimethyl phthalate (total)</t>
  </si>
  <si>
    <t>Di-n-butyl phthalate (total)</t>
  </si>
  <si>
    <t>Dinoseb (total)</t>
  </si>
  <si>
    <t>Endrin (total)</t>
  </si>
  <si>
    <t>Ethylbenzene (total)</t>
  </si>
  <si>
    <t xml:space="preserve">Fluoranthene (total) </t>
  </si>
  <si>
    <t>Fluoride (total)</t>
  </si>
  <si>
    <t>Heptachlor epoxide (total)</t>
  </si>
  <si>
    <t>Heptachlor (total)</t>
  </si>
  <si>
    <t>Hexachlorobenzene (total)</t>
  </si>
  <si>
    <t>Hexachlorobutadiene (total)</t>
  </si>
  <si>
    <t>Hexachlorocyclopentadiene (total)</t>
  </si>
  <si>
    <t>Hexachloroethane (total)</t>
  </si>
  <si>
    <t>Iron (total)</t>
  </si>
  <si>
    <t>Isophorone (total)</t>
  </si>
  <si>
    <t>Lead (dissolved)*</t>
  </si>
  <si>
    <t>Lead (total)*</t>
  </si>
  <si>
    <t>Lindane (total) (Hexachlorocyclohexane)</t>
  </si>
  <si>
    <t>Linuron (dissolved)</t>
  </si>
  <si>
    <t>Lithium (total)</t>
  </si>
  <si>
    <t>Malathion (total)</t>
  </si>
  <si>
    <t>Manganese (total)*</t>
  </si>
  <si>
    <t>Mercury (dissolved)1</t>
  </si>
  <si>
    <t>Mercury (total)</t>
  </si>
  <si>
    <t>Methyl tert-butyl ether (total) (MTBE)</t>
  </si>
  <si>
    <t>Methylene chloride (Dichloromethane;total)</t>
  </si>
  <si>
    <t>Metolachlor (total)</t>
  </si>
  <si>
    <t>Metribuzin (total)</t>
  </si>
  <si>
    <t>Mirex (total)</t>
  </si>
  <si>
    <t>Naphthalene (total)</t>
  </si>
  <si>
    <t>Nickel (dissolved)*</t>
  </si>
  <si>
    <t>Nickel (total)*</t>
  </si>
  <si>
    <t xml:space="preserve">Nitrobenzene (total) </t>
  </si>
  <si>
    <t>N-Nitrosodiphenylamine (total)</t>
  </si>
  <si>
    <t>p,p'-DDD (total)</t>
  </si>
  <si>
    <t>p,p'-DDE (total)</t>
  </si>
  <si>
    <t xml:space="preserve">p,p'-DDT (total) </t>
  </si>
  <si>
    <t>Parathion (total)</t>
  </si>
  <si>
    <t>PCBs (total)</t>
  </si>
  <si>
    <t>Pentachlorophenol (total)</t>
  </si>
  <si>
    <t>pH (total), field</t>
  </si>
  <si>
    <t>6.6-9</t>
  </si>
  <si>
    <t>---</t>
  </si>
  <si>
    <t>6.5-9</t>
  </si>
  <si>
    <t>Phenanthrene (total)</t>
  </si>
  <si>
    <t>Phenol (total)</t>
  </si>
  <si>
    <t>Picloram (total)</t>
  </si>
  <si>
    <t>Pyrene (total)</t>
  </si>
  <si>
    <t xml:space="preserve">RDX (dissolved) </t>
  </si>
  <si>
    <t>Selenium (dissolved)</t>
  </si>
  <si>
    <t>Selenium (total)</t>
  </si>
  <si>
    <t>Silver (dissolved)*</t>
  </si>
  <si>
    <t>Silver (total)</t>
  </si>
  <si>
    <t>Silvex (total)</t>
  </si>
  <si>
    <t>Simazine (total)</t>
  </si>
  <si>
    <t>Strontium (total)</t>
  </si>
  <si>
    <t>Styrene (total)</t>
  </si>
  <si>
    <t>Tebuthiuron (total)</t>
  </si>
  <si>
    <t xml:space="preserve">
89</t>
  </si>
  <si>
    <t>Tetrahydrofuran (total)</t>
  </si>
  <si>
    <t>Thallium (total)</t>
  </si>
  <si>
    <t>Tin (total)</t>
  </si>
  <si>
    <t>Titanium</t>
  </si>
  <si>
    <t>Toluene (total)</t>
  </si>
  <si>
    <t>Toxaphene (total)</t>
  </si>
  <si>
    <t>Triallate (dissolved)</t>
  </si>
  <si>
    <t>Trifluralin (total)</t>
  </si>
  <si>
    <t>Vanadium (total)</t>
  </si>
  <si>
    <t>Vinyl chloride (total)</t>
  </si>
  <si>
    <t>Xylenes (total)</t>
  </si>
  <si>
    <t>Zinc (dissolved)*</t>
  </si>
  <si>
    <t>Zinc (total)</t>
  </si>
  <si>
    <t>CMC = acute</t>
  </si>
  <si>
    <t>CCC = chronic</t>
  </si>
  <si>
    <t>SAV = Secondary acute value</t>
  </si>
  <si>
    <t>SCV = Secondary chronic value</t>
  </si>
  <si>
    <t>FCV = Final chronic value</t>
  </si>
  <si>
    <t>ASV = Acute screening value</t>
  </si>
  <si>
    <t>CSV = Chronic screening value</t>
  </si>
  <si>
    <t># pH dependant - pH of 6.7 used as worst case scenario</t>
  </si>
  <si>
    <t>Appendix Table 1</t>
  </si>
  <si>
    <t>Appendix Table 2</t>
  </si>
  <si>
    <t>Appendix Table 3</t>
  </si>
  <si>
    <t>11.2-58.5</t>
  </si>
  <si>
    <t>5000-13500</t>
  </si>
  <si>
    <t xml:space="preserve">1. Tissue residues and residue effects levels are presented on a dry weight basis. </t>
  </si>
  <si>
    <t>Parameter</t>
  </si>
  <si>
    <t>TEC</t>
  </si>
  <si>
    <t>PEC</t>
  </si>
  <si>
    <t>1,2,4-Trichlorobenzene</t>
  </si>
  <si>
    <t>1,2-Dichlorobenzene</t>
  </si>
  <si>
    <t>1,2-Dimethylnaphthalene</t>
  </si>
  <si>
    <t>1,3-Dichlorobenzene</t>
  </si>
  <si>
    <t>Pentachlorophenol metabolite - PCP tissue thresholds used; Fathead minnow whole body, 32 day exposure, growth endpoint</t>
  </si>
  <si>
    <t>USEPA 2004</t>
  </si>
  <si>
    <t>Chronic criterion for whole body fish residue (7.91 ug/g dw)</t>
  </si>
  <si>
    <t>Selenium (FHM)</t>
  </si>
  <si>
    <t>FHM growth, ingestion exposure</t>
  </si>
  <si>
    <t>Bluegill survival and growth, no effect, 180 day exposure</t>
  </si>
  <si>
    <t xml:space="preserve">Bluegill no effect concentration, survival, </t>
  </si>
  <si>
    <t>Sediment Quality Guideline Risk Screening Benchmarks for Contaminants in Aquatic Sediment</t>
  </si>
  <si>
    <t xml:space="preserve">Aquatic-Life Risk Screening  Benchmarks for Contaminants in Surface Water </t>
  </si>
  <si>
    <t xml:space="preserve">Effects Level Aquatic-Life Risk Screening  Benchmarks for Contaminant Residues in Fish Tissue </t>
  </si>
  <si>
    <t xml:space="preserve">Comparison of Toxicity Responses Reported for Rio Grande Silvery Minnows and Fathead Minnows </t>
  </si>
  <si>
    <t>Table 1 Screening Benchmarks</t>
  </si>
  <si>
    <t>RGSM/FHM Toxic Responses (Buhl 2002)</t>
  </si>
  <si>
    <t xml:space="preserve">EPA AWQC Criteria </t>
  </si>
  <si>
    <t>EPA AQUIRE</t>
  </si>
  <si>
    <t>CAS Number</t>
  </si>
  <si>
    <t>Most Sensitive Taxa
RGSM or FHM</t>
  </si>
  <si>
    <t>RGSM Mean Acute (ug/L)</t>
  </si>
  <si>
    <t xml:space="preserve">RGSM Mean Chronic (ug/L) </t>
  </si>
  <si>
    <t>RGSM/FHM Ratio</t>
  </si>
  <si>
    <t>Most Sensitive Taxa</t>
  </si>
  <si>
    <t xml:space="preserve">FHM Ranking </t>
  </si>
  <si>
    <t>FHM Mean Acute (ug/L)</t>
  </si>
  <si>
    <t xml:space="preserve">FHM Mean Chronic (ug/L) </t>
  </si>
  <si>
    <t>FHM ACR</t>
  </si>
  <si>
    <t>Fathead</t>
  </si>
  <si>
    <t>Ammonia (unionized)</t>
  </si>
  <si>
    <t>Rainbow trout
Salmo galrdner</t>
  </si>
  <si>
    <t>3/7</t>
  </si>
  <si>
    <t>RGSM</t>
  </si>
  <si>
    <t>Cladoceran</t>
  </si>
  <si>
    <t>18/43</t>
  </si>
  <si>
    <t>Used 1995 Update - 2003 Draft did not have data</t>
  </si>
  <si>
    <r>
      <t>Mercury (dissolved)</t>
    </r>
    <r>
      <rPr>
        <vertAlign val="superscript"/>
        <sz val="12"/>
        <rFont val="Arial"/>
        <family val="2"/>
      </rPr>
      <t>1</t>
    </r>
  </si>
  <si>
    <t>Midge</t>
  </si>
  <si>
    <t>12/28</t>
  </si>
  <si>
    <t>150/168</t>
  </si>
  <si>
    <t>&lt;0.23/&lt;0.26</t>
  </si>
  <si>
    <t>&gt;646.2-652.2</t>
  </si>
  <si>
    <t xml:space="preserve">As mercuric chloride (Mercury II) 
2 values given </t>
  </si>
  <si>
    <t>Daphnia</t>
  </si>
  <si>
    <t>9/18</t>
  </si>
  <si>
    <t>1987 - Draft</t>
  </si>
  <si>
    <t>17/36</t>
  </si>
  <si>
    <t>1995 Update</t>
  </si>
  <si>
    <t>1,1-Dichloroethene (total)</t>
  </si>
  <si>
    <t xml:space="preserve">Bluegill </t>
  </si>
  <si>
    <t>3/3</t>
  </si>
  <si>
    <t xml:space="preserve">Cladoceran </t>
  </si>
  <si>
    <t>2-Butanone (MEK; ethyl methyl ketone, total)</t>
  </si>
  <si>
    <t>&gt;3,900* (limit not mean)</t>
  </si>
  <si>
    <t>No acute-chronic ratlo is calculable</t>
  </si>
  <si>
    <t>3/4</t>
  </si>
  <si>
    <r>
      <t>Palaemm mcrodactylus</t>
    </r>
    <r>
      <rPr>
        <sz val="12"/>
        <rFont val="Arial"/>
        <family val="2"/>
      </rPr>
      <t xml:space="preserve"> (Korean shrimp)</t>
    </r>
  </si>
  <si>
    <t>14/21</t>
  </si>
  <si>
    <r>
      <t xml:space="preserve">Caddisfly, </t>
    </r>
    <r>
      <rPr>
        <i/>
        <sz val="12"/>
        <rFont val="Arial"/>
        <family val="2"/>
      </rPr>
      <t>Philarctus quaeris</t>
    </r>
  </si>
  <si>
    <t>21/34</t>
  </si>
  <si>
    <t>All values are total ammonia nitrogen 
(mg N/L  ) at pH=8.</t>
  </si>
  <si>
    <t>Fathead minnow</t>
  </si>
  <si>
    <t>Most sensitive  based on chronic data</t>
  </si>
  <si>
    <t>Hydra</t>
  </si>
  <si>
    <t>Draft document, not ranked lowest 3,000</t>
  </si>
  <si>
    <t>LC 50 &gt;20,000</t>
  </si>
  <si>
    <t>Brown trout</t>
  </si>
  <si>
    <t>7/55</t>
  </si>
  <si>
    <t>Cladocaran,</t>
  </si>
  <si>
    <t>2/3</t>
  </si>
  <si>
    <t>&gt;3,400</t>
  </si>
  <si>
    <t>Carp</t>
  </si>
  <si>
    <t>6/14</t>
  </si>
  <si>
    <t>6,570,000</t>
  </si>
  <si>
    <t>As NaCl</t>
  </si>
  <si>
    <t>Bluegill</t>
  </si>
  <si>
    <t>Not ranked</t>
  </si>
  <si>
    <t>286/705</t>
  </si>
  <si>
    <t>10/4.1</t>
  </si>
  <si>
    <t>No chronic mean calculated - 2 values given</t>
  </si>
  <si>
    <t>LC 50 = 70,700- 103,000</t>
  </si>
  <si>
    <t>Mayfly</t>
  </si>
  <si>
    <t>8/19</t>
  </si>
  <si>
    <t xml:space="preserve">1995 Update </t>
  </si>
  <si>
    <t>15/28</t>
  </si>
  <si>
    <t>9/16</t>
  </si>
  <si>
    <t>Copepod</t>
  </si>
  <si>
    <t>17/20</t>
  </si>
  <si>
    <r>
      <t xml:space="preserve">Pmaaus dwrarua </t>
    </r>
    <r>
      <rPr>
        <sz val="12"/>
        <rFont val="Arial"/>
        <family val="2"/>
      </rPr>
      <t xml:space="preserve">
(Pink shrimp)</t>
    </r>
  </si>
  <si>
    <t>10/19</t>
  </si>
  <si>
    <t>Yellow perch</t>
  </si>
  <si>
    <t>6/27</t>
  </si>
  <si>
    <t>Stone fly</t>
  </si>
  <si>
    <t>16/18</t>
  </si>
  <si>
    <t>1,530</t>
  </si>
  <si>
    <t>No FHM Testing</t>
  </si>
  <si>
    <t>Amphipod</t>
  </si>
  <si>
    <t>6/10</t>
  </si>
  <si>
    <t>From Lead 1984, ACR is final ACR not FHM specific ACR</t>
  </si>
  <si>
    <t>15/23</t>
  </si>
  <si>
    <t>1995 Update criteria document</t>
  </si>
  <si>
    <t>Cladocaran</t>
  </si>
  <si>
    <t>2/4</t>
  </si>
  <si>
    <t>Snail</t>
  </si>
  <si>
    <t>5/21</t>
  </si>
  <si>
    <t>390/7,300</t>
  </si>
  <si>
    <t>281/1,100</t>
  </si>
  <si>
    <t>1.4/6.6</t>
  </si>
  <si>
    <t>2 values given, no mean calculated</t>
  </si>
  <si>
    <t>Amphipod - hyalella azteca</t>
  </si>
  <si>
    <t>3/22</t>
  </si>
  <si>
    <t>1995 Update for Selemiun IV</t>
  </si>
  <si>
    <t>Tetrachloroethene (total)</t>
  </si>
  <si>
    <t>3/12</t>
  </si>
  <si>
    <t>trans-1,2-Dichloroethene (total)</t>
  </si>
  <si>
    <t>Trichloroethene (total)</t>
  </si>
  <si>
    <t>1,2,3-Trichloropropane (total)</t>
  </si>
  <si>
    <t>2,4 -dinitro-6 methylphenol</t>
  </si>
  <si>
    <t>2,6-Dinitrotoluene (total)</t>
  </si>
  <si>
    <t>9H-Florene</t>
  </si>
  <si>
    <t>Bromobenzene</t>
  </si>
  <si>
    <t>4-Isopropyltoluene (total)</t>
  </si>
  <si>
    <r>
      <t>Alkalinity, as CaCO</t>
    </r>
    <r>
      <rPr>
        <vertAlign val="subscript"/>
        <sz val="12"/>
        <color indexed="8"/>
        <rFont val="Arial"/>
        <family val="2"/>
      </rPr>
      <t>3</t>
    </r>
    <r>
      <rPr>
        <sz val="12"/>
        <color indexed="8"/>
        <rFont val="Arial"/>
        <family val="2"/>
      </rPr>
      <t xml:space="preserve"> (dissolved)</t>
    </r>
  </si>
  <si>
    <r>
      <t>Methyl parathion (total)</t>
    </r>
    <r>
      <rPr>
        <vertAlign val="superscript"/>
        <sz val="12"/>
        <color indexed="8"/>
        <rFont val="Arial"/>
        <family val="2"/>
      </rPr>
      <t>2</t>
    </r>
  </si>
  <si>
    <r>
      <t>*</t>
    </r>
    <r>
      <rPr>
        <vertAlign val="superscript"/>
        <sz val="12"/>
        <rFont val="Arial"/>
        <family val="2"/>
      </rPr>
      <t xml:space="preserve"> </t>
    </r>
    <r>
      <rPr>
        <sz val="12"/>
        <rFont val="Arial"/>
        <family val="2"/>
      </rPr>
      <t>Calculated values using a hardness of 175 mg/L</t>
    </r>
  </si>
  <si>
    <r>
      <t>a</t>
    </r>
    <r>
      <rPr>
        <sz val="12"/>
        <rFont val="Arial"/>
        <family val="2"/>
      </rPr>
      <t xml:space="preserve"> Criteria was evaluated from Isleta, Sandia, Santa Clara and San Juan Pueblos</t>
    </r>
  </si>
  <si>
    <r>
      <t>1</t>
    </r>
    <r>
      <rPr>
        <sz val="12"/>
        <rFont val="Arial"/>
        <family val="2"/>
      </rPr>
      <t xml:space="preserve"> Dissolved mercury was calculated by multiplying total mercury concentrations by the Federal Standard conversion factor of 0.85</t>
    </r>
  </si>
  <si>
    <r>
      <t xml:space="preserve">2  </t>
    </r>
    <r>
      <rPr>
        <sz val="12"/>
        <rFont val="Arial"/>
        <family val="2"/>
      </rPr>
      <t>Acute value applies to methyl parathion only; chronic value applies to sum of parathion and methyl parathion.</t>
    </r>
  </si>
  <si>
    <t>ACR = Acute to chronic ratio</t>
  </si>
  <si>
    <t>FHM = Fathead minnow</t>
  </si>
  <si>
    <t>NA = Not available</t>
  </si>
  <si>
    <t>RGSM = Rio Grande Silvery Minnow</t>
  </si>
  <si>
    <t>Appendix Table 4</t>
  </si>
  <si>
    <t>Analytes where the Table A-1 water quality screening benchmark may not be protective of RGSM and FHM</t>
  </si>
  <si>
    <t>Analytes where the Table A-1 water quality screening benchmark is likely protective of RGSM and FHM</t>
  </si>
  <si>
    <t>Analytes where Table A-1 water quality screening benchmarks are not available, but RGSM/FHM benchmarks are available</t>
  </si>
  <si>
    <t>Table A-1 analytes where RGSM or FHM toxicity testing information is not available</t>
  </si>
  <si>
    <t>Michigan Rule 57 
Tier II values
(Rev. 2/1/2005)</t>
  </si>
  <si>
    <t>AMV
(ug/L)</t>
  </si>
  <si>
    <t>FCV 
(ug/L)</t>
  </si>
  <si>
    <t>2-Butanone (MEK;ethyl methyl ketone; total)</t>
  </si>
  <si>
    <t xml:space="preserve">
Sandia
San Juan
Santa Clara</t>
  </si>
  <si>
    <t>Isleta
Sandia - acute
Santa Clara</t>
  </si>
  <si>
    <t>Isleta
Sandia 
San Juan</t>
  </si>
  <si>
    <t>Sandia
Isleta
San Juan
Santa Clara</t>
  </si>
  <si>
    <t>Sandia
Isleta- chronic</t>
  </si>
  <si>
    <t>San Juan
Santa Clara</t>
  </si>
  <si>
    <t>Sandia
San Juan
Santa Clara - chronic</t>
  </si>
  <si>
    <t>Sandia
Santa Clara</t>
  </si>
  <si>
    <t xml:space="preserve">Sandia
San Juan
Santa Clara
</t>
  </si>
  <si>
    <t>Sandia 
Isleta
San Juan</t>
  </si>
  <si>
    <t xml:space="preserve">San Juan
Sandia, Isleta - acute
Santa Clara - chronic
</t>
  </si>
  <si>
    <t xml:space="preserve">Sandia -acute
Isleta -acute
Santa Clara - chronic
San Juan </t>
  </si>
  <si>
    <t>Sandia
Isleta - acute
 San Juan
Santa Clara</t>
  </si>
  <si>
    <t>ACV = Acute maximum value</t>
  </si>
  <si>
    <t xml:space="preserve">Marcus, M.D., S. Covington , and N. Smith. 2005.  Using Existing Data from the Middle Rio Grande to Screen Water Quality Risks to Rio Grande Silvery Minnow.  Volume 1 - Final Report and Volume 2 – Appendix Data.  Final report to the NM Interstate Stream Commission and the Middle Rio Grande Endangered Species Act Collaborative Program, USDI Bureau of Reclamation.  Albuquerque, NM. </t>
  </si>
  <si>
    <t>The tables provided at four tabs below present the four sets of risk screeing benchmark criteria that were developed in 2005 for an assessment completed by Tetra Tech for the NM Interstate Stream Commission:</t>
  </si>
  <si>
    <t>These tables are provided to allow interested users to download and modifiy the screening criteria sets and apply them to other waterbody and other assessment needs.</t>
  </si>
  <si>
    <t>Section 3.2 in the above referenced report describes the identification, compilation, and use of these four sets of benchmarks.  This document can be accessed at: http://www.ose.state.nm.us/publications_isc_reports.html.</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</si>
</sst>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00000000"/>
    <numFmt numFmtId="171" formatCode="0.0000000000"/>
    <numFmt numFmtId="172" formatCode="0.00000000"/>
    <numFmt numFmtId="173" formatCode="0.0000000"/>
    <numFmt numFmtId="174" formatCode="0.000000"/>
    <numFmt numFmtId="175" formatCode="0.00000"/>
    <numFmt numFmtId="176" formatCode="0.0000"/>
    <numFmt numFmtId="177" formatCode="0.000"/>
    <numFmt numFmtId="178" formatCode="0.0E+00"/>
    <numFmt numFmtId="179" formatCode="#,##0.000"/>
    <numFmt numFmtId="180" formatCode="[Blue]General"/>
    <numFmt numFmtId="181" formatCode="[Red]General"/>
    <numFmt numFmtId="182" formatCode="dd\-mmm\-yy"/>
    <numFmt numFmtId="183" formatCode="[$-409]mmm\-yy;@"/>
  </numFmts>
  <fonts count="42">
    <font>
      <sz val="10"/>
      <name val="Arial"/>
      <family val="0"/>
    </font>
    <font>
      <u val="single"/>
      <sz val="8"/>
      <color indexed="36"/>
      <name val="Arial"/>
      <family val="0"/>
    </font>
    <font>
      <u val="single"/>
      <sz val="8"/>
      <color indexed="12"/>
      <name val="Arial"/>
      <family val="0"/>
    </font>
    <font>
      <sz val="10"/>
      <color indexed="8"/>
      <name val="Arial"/>
      <family val="0"/>
    </font>
    <font>
      <b/>
      <sz val="11"/>
      <name val="Arial"/>
      <family val="2"/>
    </font>
    <font>
      <sz val="10"/>
      <name val="Times New Roman"/>
      <family val="1"/>
    </font>
    <font>
      <b/>
      <sz val="10"/>
      <name val="Arial"/>
      <family val="2"/>
    </font>
    <font>
      <b/>
      <i/>
      <u val="single"/>
      <sz val="9"/>
      <name val="Arial"/>
      <family val="2"/>
    </font>
    <font>
      <b/>
      <u val="single"/>
      <sz val="10"/>
      <name val="Arial"/>
      <family val="2"/>
    </font>
    <font>
      <vertAlign val="superscript"/>
      <sz val="10"/>
      <name val="Arial"/>
      <family val="2"/>
    </font>
    <font>
      <b/>
      <sz val="10"/>
      <name val="Tahoma"/>
      <family val="2"/>
    </font>
    <font>
      <sz val="10"/>
      <name val="Tahoma"/>
      <family val="2"/>
    </font>
    <font>
      <b/>
      <sz val="8"/>
      <name val="Tahoma"/>
      <family val="0"/>
    </font>
    <font>
      <sz val="8"/>
      <name val="Tahoma"/>
      <family val="0"/>
    </font>
    <font>
      <b/>
      <sz val="8"/>
      <name val="Arial"/>
      <family val="2"/>
    </font>
    <font>
      <b/>
      <sz val="14"/>
      <name val="Arial"/>
      <family val="2"/>
    </font>
    <font>
      <sz val="11"/>
      <name val="Arial"/>
      <family val="0"/>
    </font>
    <font>
      <b/>
      <sz val="11"/>
      <color indexed="8"/>
      <name val="Arial"/>
      <family val="0"/>
    </font>
    <font>
      <sz val="11"/>
      <color indexed="8"/>
      <name val="Arial"/>
      <family val="0"/>
    </font>
    <font>
      <sz val="8"/>
      <name val="Arial"/>
      <family val="2"/>
    </font>
    <font>
      <b/>
      <sz val="18"/>
      <name val="Arial"/>
      <family val="2"/>
    </font>
    <font>
      <b/>
      <sz val="16"/>
      <name val="Arial"/>
      <family val="2"/>
    </font>
    <font>
      <b/>
      <sz val="9"/>
      <name val="Arial"/>
      <family val="2"/>
    </font>
    <font>
      <sz val="12"/>
      <name val="Arial"/>
      <family val="0"/>
    </font>
    <font>
      <sz val="9"/>
      <name val="Arial"/>
      <family val="0"/>
    </font>
    <font>
      <vertAlign val="superscript"/>
      <sz val="9"/>
      <name val="Arial"/>
      <family val="2"/>
    </font>
    <font>
      <b/>
      <vertAlign val="superscript"/>
      <sz val="9"/>
      <name val="Arial"/>
      <family val="2"/>
    </font>
    <font>
      <sz val="9"/>
      <color indexed="8"/>
      <name val="Arial"/>
      <family val="2"/>
    </font>
    <font>
      <sz val="9"/>
      <color indexed="9"/>
      <name val="Arial"/>
      <family val="2"/>
    </font>
    <font>
      <b/>
      <sz val="9"/>
      <color indexed="8"/>
      <name val="Arial"/>
      <family val="2"/>
    </font>
    <font>
      <vertAlign val="subscript"/>
      <sz val="9"/>
      <color indexed="8"/>
      <name val="Arial"/>
      <family val="2"/>
    </font>
    <font>
      <vertAlign val="superscript"/>
      <sz val="9"/>
      <color indexed="8"/>
      <name val="Arial"/>
      <family val="2"/>
    </font>
    <font>
      <vertAlign val="superscript"/>
      <sz val="8"/>
      <name val="Arial"/>
      <family val="2"/>
    </font>
    <font>
      <b/>
      <sz val="14"/>
      <color indexed="8"/>
      <name val="Arial"/>
      <family val="2"/>
    </font>
    <font>
      <sz val="14"/>
      <color indexed="8"/>
      <name val="Arial"/>
      <family val="2"/>
    </font>
    <font>
      <b/>
      <u val="single"/>
      <sz val="12"/>
      <name val="Arial"/>
      <family val="2"/>
    </font>
    <font>
      <sz val="12"/>
      <color indexed="8"/>
      <name val="Arial"/>
      <family val="2"/>
    </font>
    <font>
      <vertAlign val="superscript"/>
      <sz val="12"/>
      <name val="Arial"/>
      <family val="2"/>
    </font>
    <font>
      <i/>
      <sz val="12"/>
      <name val="Arial"/>
      <family val="2"/>
    </font>
    <font>
      <vertAlign val="subscript"/>
      <sz val="12"/>
      <color indexed="8"/>
      <name val="Arial"/>
      <family val="2"/>
    </font>
    <font>
      <vertAlign val="superscript"/>
      <sz val="12"/>
      <color indexed="8"/>
      <name val="Arial"/>
      <family val="2"/>
    </font>
    <font>
      <u val="single"/>
      <sz val="12"/>
      <name val="Arial"/>
      <family val="2"/>
    </font>
  </fonts>
  <fills count="4">
    <fill>
      <patternFill/>
    </fill>
    <fill>
      <patternFill patternType="gray125"/>
    </fill>
    <fill>
      <patternFill patternType="solid">
        <fgColor indexed="45"/>
        <bgColor indexed="64"/>
      </patternFill>
    </fill>
    <fill>
      <patternFill patternType="solid">
        <fgColor indexed="43"/>
        <bgColor indexed="64"/>
      </patternFill>
    </fill>
  </fills>
  <borders count="45">
    <border>
      <left/>
      <right/>
      <top/>
      <bottom/>
      <diagonal/>
    </border>
    <border>
      <left style="thin">
        <color indexed="22"/>
      </left>
      <right style="thin">
        <color indexed="22"/>
      </right>
      <top style="thin">
        <color indexed="22"/>
      </top>
      <bottom style="thin">
        <color indexed="22"/>
      </bottom>
    </border>
    <border>
      <left>
        <color indexed="63"/>
      </left>
      <right style="thin"/>
      <top>
        <color indexed="63"/>
      </top>
      <bottom>
        <color indexed="63"/>
      </bottom>
    </border>
    <border>
      <left>
        <color indexed="63"/>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color indexed="63"/>
      </left>
      <right>
        <color indexed="63"/>
      </right>
      <top style="double"/>
      <bottom style="thin"/>
    </border>
    <border>
      <left>
        <color indexed="63"/>
      </left>
      <right style="double"/>
      <top style="double"/>
      <bottom style="thin"/>
    </border>
    <border>
      <left style="double"/>
      <right style="thin"/>
      <top style="thin"/>
      <bottom style="thin"/>
    </border>
    <border>
      <left style="thin"/>
      <right style="double"/>
      <top style="thin"/>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double"/>
    </border>
    <border>
      <left style="thin"/>
      <right style="double"/>
      <top style="thin"/>
      <bottom>
        <color indexed="63"/>
      </bottom>
    </border>
    <border>
      <left style="thin"/>
      <right style="double"/>
      <top>
        <color indexed="63"/>
      </top>
      <bottom>
        <color indexed="63"/>
      </bottom>
    </border>
    <border>
      <left style="thin"/>
      <right style="double"/>
      <top>
        <color indexed="63"/>
      </top>
      <bottom style="double"/>
    </border>
    <border>
      <left style="double"/>
      <right style="thin"/>
      <top style="double"/>
      <bottom style="thin"/>
    </border>
    <border>
      <left style="thin"/>
      <right style="thin"/>
      <top style="double"/>
      <bottom style="thin"/>
    </border>
    <border>
      <left style="thin"/>
      <right style="double"/>
      <top style="double"/>
      <bottom style="thin"/>
    </border>
    <border>
      <left style="double"/>
      <right>
        <color indexed="63"/>
      </right>
      <top style="double"/>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style="double"/>
      <bottom>
        <color indexed="63"/>
      </bottom>
    </border>
    <border>
      <left>
        <color indexed="63"/>
      </left>
      <right style="thin"/>
      <top style="double"/>
      <bottom style="thin"/>
    </border>
    <border>
      <left>
        <color indexed="63"/>
      </left>
      <right style="thin"/>
      <top>
        <color indexed="63"/>
      </top>
      <bottom style="double"/>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3" fillId="0" borderId="0">
      <alignment/>
      <protection/>
    </xf>
    <xf numFmtId="0" fontId="3" fillId="0" borderId="0">
      <alignment/>
      <protection/>
    </xf>
    <xf numFmtId="9" fontId="0" fillId="0" borderId="0" applyFont="0" applyFill="0" applyBorder="0" applyAlignment="0" applyProtection="0"/>
  </cellStyleXfs>
  <cellXfs count="325">
    <xf numFmtId="0" fontId="0" fillId="0" borderId="0" xfId="0" applyAlignment="1">
      <alignment/>
    </xf>
    <xf numFmtId="0" fontId="5" fillId="0" borderId="0" xfId="0" applyFont="1" applyFill="1" applyAlignment="1">
      <alignment/>
    </xf>
    <xf numFmtId="0" fontId="5" fillId="0" borderId="0" xfId="0" applyFont="1" applyFill="1" applyAlignment="1">
      <alignment/>
    </xf>
    <xf numFmtId="0" fontId="0" fillId="0" borderId="0" xfId="0" applyFont="1" applyFill="1" applyAlignment="1">
      <alignment vertical="center"/>
    </xf>
    <xf numFmtId="0" fontId="0" fillId="0" borderId="0" xfId="0" applyFont="1" applyFill="1" applyAlignment="1">
      <alignment/>
    </xf>
    <xf numFmtId="0" fontId="0" fillId="0" borderId="0" xfId="0" applyFill="1" applyAlignment="1">
      <alignment/>
    </xf>
    <xf numFmtId="0" fontId="0" fillId="0" borderId="0" xfId="0" applyFont="1" applyFill="1" applyAlignment="1">
      <alignment/>
    </xf>
    <xf numFmtId="0" fontId="0" fillId="0" borderId="0" xfId="0" applyFill="1" applyAlignment="1">
      <alignment vertical="top"/>
    </xf>
    <xf numFmtId="0" fontId="0" fillId="0" borderId="1" xfId="0" applyFill="1" applyBorder="1" applyAlignment="1">
      <alignment/>
    </xf>
    <xf numFmtId="3" fontId="0" fillId="0" borderId="1" xfId="0" applyNumberFormat="1" applyFill="1" applyBorder="1" applyAlignment="1">
      <alignment/>
    </xf>
    <xf numFmtId="0" fontId="0" fillId="0" borderId="1" xfId="0" applyFont="1" applyFill="1" applyBorder="1" applyAlignment="1">
      <alignment/>
    </xf>
    <xf numFmtId="0" fontId="0" fillId="0" borderId="0" xfId="0" applyFill="1" applyAlignment="1">
      <alignment/>
    </xf>
    <xf numFmtId="49" fontId="0" fillId="0" borderId="0" xfId="0" applyNumberFormat="1" applyAlignment="1">
      <alignment/>
    </xf>
    <xf numFmtId="0" fontId="8" fillId="0" borderId="0" xfId="0" applyFont="1" applyFill="1" applyAlignment="1">
      <alignment/>
    </xf>
    <xf numFmtId="0" fontId="0" fillId="0" borderId="0" xfId="0" applyBorder="1" applyAlignment="1">
      <alignment/>
    </xf>
    <xf numFmtId="0" fontId="6" fillId="0" borderId="0" xfId="0" applyFont="1" applyFill="1" applyBorder="1" applyAlignment="1">
      <alignment/>
    </xf>
    <xf numFmtId="0" fontId="9" fillId="0" borderId="0" xfId="0" applyFont="1" applyFill="1" applyBorder="1" applyAlignment="1">
      <alignment/>
    </xf>
    <xf numFmtId="49" fontId="0" fillId="0" borderId="0" xfId="0" applyNumberFormat="1" applyFill="1" applyAlignment="1">
      <alignment/>
    </xf>
    <xf numFmtId="0" fontId="0" fillId="0" borderId="0" xfId="0" applyFill="1" applyBorder="1" applyAlignment="1">
      <alignment/>
    </xf>
    <xf numFmtId="0" fontId="0" fillId="0" borderId="2" xfId="0" applyBorder="1" applyAlignment="1">
      <alignment/>
    </xf>
    <xf numFmtId="0" fontId="0" fillId="2" borderId="0" xfId="0" applyFill="1" applyAlignment="1">
      <alignment/>
    </xf>
    <xf numFmtId="0" fontId="0" fillId="3" borderId="0" xfId="0" applyFill="1" applyAlignment="1">
      <alignment/>
    </xf>
    <xf numFmtId="0" fontId="0" fillId="0" borderId="3" xfId="0" applyFill="1" applyBorder="1" applyAlignment="1">
      <alignment/>
    </xf>
    <xf numFmtId="3" fontId="0" fillId="0" borderId="3" xfId="0" applyNumberFormat="1" applyFill="1" applyBorder="1" applyAlignment="1">
      <alignment/>
    </xf>
    <xf numFmtId="0" fontId="0" fillId="0" borderId="3" xfId="0" applyFont="1" applyFill="1" applyBorder="1" applyAlignment="1">
      <alignment/>
    </xf>
    <xf numFmtId="0" fontId="0" fillId="0" borderId="0" xfId="0" applyAlignment="1">
      <alignment horizontal="center"/>
    </xf>
    <xf numFmtId="0" fontId="0" fillId="0" borderId="0" xfId="0" applyAlignment="1">
      <alignment horizontal="left"/>
    </xf>
    <xf numFmtId="0" fontId="0" fillId="0" borderId="0" xfId="0" applyAlignment="1">
      <alignment/>
    </xf>
    <xf numFmtId="0" fontId="0" fillId="0" borderId="0" xfId="0" applyAlignment="1">
      <alignment horizontal="right"/>
    </xf>
    <xf numFmtId="0" fontId="16" fillId="0" borderId="0" xfId="0" applyFont="1" applyAlignment="1">
      <alignment/>
    </xf>
    <xf numFmtId="49" fontId="18" fillId="0" borderId="4" xfId="22" applyNumberFormat="1" applyFont="1" applyFill="1" applyBorder="1" applyAlignment="1">
      <alignment wrapText="1"/>
      <protection/>
    </xf>
    <xf numFmtId="0" fontId="16" fillId="0" borderId="4" xfId="0" applyNumberFormat="1" applyFont="1" applyFill="1" applyBorder="1" applyAlignment="1">
      <alignment/>
    </xf>
    <xf numFmtId="0" fontId="18" fillId="0" borderId="4" xfId="21" applyFont="1" applyFill="1" applyBorder="1" applyAlignment="1">
      <alignment wrapText="1"/>
      <protection/>
    </xf>
    <xf numFmtId="0" fontId="18" fillId="0" borderId="4" xfId="21" applyFont="1" applyFill="1" applyBorder="1" applyAlignment="1">
      <alignment horizontal="right" wrapText="1"/>
      <protection/>
    </xf>
    <xf numFmtId="0" fontId="18" fillId="0" borderId="4" xfId="21" applyFont="1" applyBorder="1">
      <alignment/>
      <protection/>
    </xf>
    <xf numFmtId="0" fontId="18" fillId="0" borderId="4" xfId="22" applyNumberFormat="1" applyFont="1" applyFill="1" applyBorder="1" applyAlignment="1">
      <alignment wrapText="1"/>
      <protection/>
    </xf>
    <xf numFmtId="0" fontId="18" fillId="0" borderId="4" xfId="23" applyNumberFormat="1" applyFont="1" applyFill="1" applyBorder="1" applyAlignment="1">
      <alignment wrapText="1"/>
      <protection/>
    </xf>
    <xf numFmtId="0" fontId="16" fillId="0" borderId="0" xfId="0" applyFont="1" applyAlignment="1">
      <alignment horizontal="center"/>
    </xf>
    <xf numFmtId="0" fontId="18" fillId="0" borderId="4" xfId="21" applyFont="1" applyFill="1" applyBorder="1" applyAlignment="1">
      <alignment horizontal="center" wrapText="1"/>
      <protection/>
    </xf>
    <xf numFmtId="0" fontId="16" fillId="0" borderId="4" xfId="0" applyFont="1" applyFill="1" applyBorder="1" applyAlignment="1">
      <alignment horizontal="center"/>
    </xf>
    <xf numFmtId="0" fontId="18" fillId="0" borderId="4" xfId="22" applyFont="1" applyFill="1" applyBorder="1" applyAlignment="1">
      <alignment horizontal="center" wrapText="1"/>
      <protection/>
    </xf>
    <xf numFmtId="0" fontId="18" fillId="0" borderId="4" xfId="23" applyFont="1" applyFill="1" applyBorder="1" applyAlignment="1">
      <alignment horizontal="center" wrapText="1"/>
      <protection/>
    </xf>
    <xf numFmtId="0" fontId="16" fillId="0" borderId="4" xfId="0" applyFont="1" applyBorder="1" applyAlignment="1">
      <alignment/>
    </xf>
    <xf numFmtId="0" fontId="16" fillId="0" borderId="5" xfId="0" applyFont="1" applyBorder="1" applyAlignment="1">
      <alignment/>
    </xf>
    <xf numFmtId="0" fontId="0" fillId="0" borderId="0" xfId="0" applyFill="1" applyAlignment="1">
      <alignment horizontal="center"/>
    </xf>
    <xf numFmtId="0" fontId="19" fillId="0" borderId="0" xfId="0" applyFont="1" applyFill="1" applyBorder="1" applyAlignment="1">
      <alignment/>
    </xf>
    <xf numFmtId="0" fontId="0" fillId="0" borderId="0" xfId="0" applyAlignment="1">
      <alignment horizontal="center" vertical="center" wrapText="1"/>
    </xf>
    <xf numFmtId="49" fontId="5" fillId="0" borderId="0" xfId="0" applyNumberFormat="1" applyFont="1" applyFill="1" applyAlignment="1">
      <alignment/>
    </xf>
    <xf numFmtId="0" fontId="5" fillId="0" borderId="0" xfId="0" applyFont="1" applyFill="1" applyBorder="1" applyAlignment="1">
      <alignment/>
    </xf>
    <xf numFmtId="0" fontId="5" fillId="0" borderId="6" xfId="0" applyFont="1" applyFill="1" applyBorder="1" applyAlignment="1">
      <alignment/>
    </xf>
    <xf numFmtId="0" fontId="14" fillId="0" borderId="0" xfId="0" applyFont="1" applyFill="1" applyBorder="1" applyAlignment="1">
      <alignment/>
    </xf>
    <xf numFmtId="0" fontId="16" fillId="0" borderId="4" xfId="0" applyFont="1" applyFill="1" applyBorder="1"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0" fontId="24" fillId="0" borderId="0" xfId="0" applyFont="1" applyFill="1" applyBorder="1" applyAlignment="1">
      <alignment/>
    </xf>
    <xf numFmtId="0" fontId="16" fillId="0" borderId="4" xfId="0" applyFont="1" applyBorder="1" applyAlignment="1">
      <alignment wrapText="1"/>
    </xf>
    <xf numFmtId="0" fontId="16" fillId="0" borderId="4" xfId="0" applyNumberFormat="1" applyFont="1" applyBorder="1" applyAlignment="1">
      <alignment wrapText="1"/>
    </xf>
    <xf numFmtId="0" fontId="16" fillId="0" borderId="0" xfId="0" applyFont="1" applyBorder="1" applyAlignment="1">
      <alignment/>
    </xf>
    <xf numFmtId="0" fontId="0" fillId="0" borderId="0" xfId="0" applyFont="1" applyAlignment="1">
      <alignment horizontal="center" vertical="center" wrapText="1"/>
    </xf>
    <xf numFmtId="0" fontId="22" fillId="0" borderId="4" xfId="0" applyFont="1" applyFill="1" applyBorder="1" applyAlignment="1">
      <alignment horizontal="center" wrapText="1"/>
    </xf>
    <xf numFmtId="0" fontId="27" fillId="0" borderId="5" xfId="22" applyFont="1" applyFill="1" applyBorder="1" applyAlignment="1">
      <alignment/>
      <protection/>
    </xf>
    <xf numFmtId="0" fontId="22" fillId="0" borderId="5" xfId="0" applyFont="1" applyFill="1" applyBorder="1" applyAlignment="1">
      <alignment horizontal="center"/>
    </xf>
    <xf numFmtId="0" fontId="27" fillId="0" borderId="5" xfId="22" applyFont="1" applyFill="1" applyBorder="1" applyAlignment="1">
      <alignment horizontal="center" wrapText="1"/>
      <protection/>
    </xf>
    <xf numFmtId="49" fontId="24" fillId="0" borderId="5" xfId="0" applyNumberFormat="1" applyFont="1" applyFill="1" applyBorder="1" applyAlignment="1" quotePrefix="1">
      <alignment horizontal="center" wrapText="1"/>
    </xf>
    <xf numFmtId="0" fontId="24" fillId="0" borderId="5" xfId="0" applyFont="1" applyFill="1" applyBorder="1" applyAlignment="1" quotePrefix="1">
      <alignment horizontal="center"/>
    </xf>
    <xf numFmtId="3" fontId="24" fillId="0" borderId="5" xfId="0" applyNumberFormat="1" applyFont="1" applyFill="1" applyBorder="1" applyAlignment="1">
      <alignment horizontal="center"/>
    </xf>
    <xf numFmtId="3" fontId="22" fillId="0" borderId="5" xfId="0" applyNumberFormat="1" applyFont="1" applyFill="1" applyBorder="1" applyAlignment="1">
      <alignment horizontal="center"/>
    </xf>
    <xf numFmtId="0" fontId="22" fillId="0" borderId="5" xfId="0" applyFont="1" applyFill="1" applyBorder="1" applyAlignment="1" quotePrefix="1">
      <alignment horizontal="center"/>
    </xf>
    <xf numFmtId="0" fontId="27" fillId="0" borderId="4" xfId="22" applyFont="1" applyFill="1" applyBorder="1" applyAlignment="1">
      <alignment/>
      <protection/>
    </xf>
    <xf numFmtId="0" fontId="22" fillId="0" borderId="4" xfId="0" applyFont="1" applyFill="1" applyBorder="1" applyAlignment="1">
      <alignment horizontal="center"/>
    </xf>
    <xf numFmtId="0" fontId="27" fillId="0" borderId="4" xfId="22" applyFont="1" applyFill="1" applyBorder="1" applyAlignment="1">
      <alignment horizontal="center" wrapText="1"/>
      <protection/>
    </xf>
    <xf numFmtId="49" fontId="24" fillId="0" borderId="4" xfId="0" applyNumberFormat="1" applyFont="1" applyFill="1" applyBorder="1" applyAlignment="1" quotePrefix="1">
      <alignment horizontal="center"/>
    </xf>
    <xf numFmtId="0" fontId="24" fillId="0" borderId="4" xfId="0" applyFont="1" applyFill="1" applyBorder="1" applyAlignment="1" quotePrefix="1">
      <alignment horizontal="center"/>
    </xf>
    <xf numFmtId="3" fontId="24" fillId="0" borderId="4" xfId="0" applyNumberFormat="1" applyFont="1" applyFill="1" applyBorder="1" applyAlignment="1">
      <alignment horizontal="center"/>
    </xf>
    <xf numFmtId="3" fontId="22" fillId="0" borderId="4" xfId="0" applyNumberFormat="1" applyFont="1" applyFill="1" applyBorder="1" applyAlignment="1">
      <alignment horizontal="center"/>
    </xf>
    <xf numFmtId="164" fontId="24" fillId="0" borderId="4" xfId="0" applyNumberFormat="1" applyFont="1" applyFill="1" applyBorder="1" applyAlignment="1" quotePrefix="1">
      <alignment horizontal="center"/>
    </xf>
    <xf numFmtId="0" fontId="22" fillId="0" borderId="4" xfId="0" applyFont="1" applyFill="1" applyBorder="1" applyAlignment="1" quotePrefix="1">
      <alignment horizontal="center"/>
    </xf>
    <xf numFmtId="3" fontId="24" fillId="0" borderId="4" xfId="0" applyNumberFormat="1" applyFont="1" applyFill="1" applyBorder="1" applyAlignment="1" quotePrefix="1">
      <alignment horizontal="center"/>
    </xf>
    <xf numFmtId="164" fontId="22" fillId="0" borderId="4" xfId="0" applyNumberFormat="1" applyFont="1" applyFill="1" applyBorder="1" applyAlignment="1" quotePrefix="1">
      <alignment horizontal="center"/>
    </xf>
    <xf numFmtId="49" fontId="24" fillId="0" borderId="4" xfId="0" applyNumberFormat="1" applyFont="1" applyFill="1" applyBorder="1" applyAlignment="1" quotePrefix="1">
      <alignment horizontal="center" wrapText="1"/>
    </xf>
    <xf numFmtId="0" fontId="24" fillId="0" borderId="4" xfId="0" applyFont="1" applyFill="1" applyBorder="1" applyAlignment="1" quotePrefix="1">
      <alignment horizontal="center" wrapText="1"/>
    </xf>
    <xf numFmtId="3" fontId="22" fillId="0" borderId="4" xfId="0" applyNumberFormat="1" applyFont="1" applyFill="1" applyBorder="1" applyAlignment="1" quotePrefix="1">
      <alignment horizontal="center"/>
    </xf>
    <xf numFmtId="1" fontId="22" fillId="0" borderId="4" xfId="0" applyNumberFormat="1" applyFont="1" applyFill="1" applyBorder="1" applyAlignment="1">
      <alignment horizontal="center"/>
    </xf>
    <xf numFmtId="165" fontId="24" fillId="0" borderId="4" xfId="0" applyNumberFormat="1" applyFont="1" applyFill="1" applyBorder="1" applyAlignment="1">
      <alignment horizontal="center"/>
    </xf>
    <xf numFmtId="0" fontId="24" fillId="0" borderId="4" xfId="0" applyFont="1" applyFill="1" applyBorder="1" applyAlignment="1">
      <alignment horizontal="center"/>
    </xf>
    <xf numFmtId="179" fontId="22" fillId="0" borderId="4" xfId="0" applyNumberFormat="1" applyFont="1" applyFill="1" applyBorder="1" applyAlignment="1">
      <alignment horizontal="center"/>
    </xf>
    <xf numFmtId="2" fontId="24" fillId="0" borderId="4" xfId="0" applyNumberFormat="1" applyFont="1" applyBorder="1" applyAlignment="1">
      <alignment horizontal="center"/>
    </xf>
    <xf numFmtId="1" fontId="24" fillId="0" borderId="4" xfId="0" applyNumberFormat="1" applyFont="1" applyFill="1" applyBorder="1" applyAlignment="1" quotePrefix="1">
      <alignment horizontal="center"/>
    </xf>
    <xf numFmtId="0" fontId="24" fillId="0" borderId="4" xfId="0" applyFont="1" applyBorder="1" applyAlignment="1" quotePrefix="1">
      <alignment horizontal="center"/>
    </xf>
    <xf numFmtId="0" fontId="22" fillId="0" borderId="4" xfId="0" applyFont="1" applyBorder="1" applyAlignment="1">
      <alignment horizontal="center"/>
    </xf>
    <xf numFmtId="0" fontId="24" fillId="0" borderId="4" xfId="0" applyFont="1" applyBorder="1" applyAlignment="1">
      <alignment horizontal="center"/>
    </xf>
    <xf numFmtId="0" fontId="24" fillId="0" borderId="4" xfId="0" applyFont="1" applyFill="1" applyBorder="1" applyAlignment="1">
      <alignment/>
    </xf>
    <xf numFmtId="165" fontId="22" fillId="0" borderId="4" xfId="0" applyNumberFormat="1" applyFont="1" applyFill="1" applyBorder="1" applyAlignment="1" quotePrefix="1">
      <alignment horizontal="center"/>
    </xf>
    <xf numFmtId="164" fontId="24" fillId="0" borderId="4" xfId="0" applyNumberFormat="1" applyFont="1" applyBorder="1" applyAlignment="1" quotePrefix="1">
      <alignment horizontal="center"/>
    </xf>
    <xf numFmtId="164" fontId="22" fillId="0" borderId="4" xfId="0" applyNumberFormat="1" applyFont="1" applyFill="1" applyBorder="1" applyAlignment="1">
      <alignment horizontal="center"/>
    </xf>
    <xf numFmtId="0" fontId="27" fillId="0" borderId="4" xfId="22" applyFont="1" applyFill="1" applyBorder="1" applyAlignment="1">
      <alignment wrapText="1"/>
      <protection/>
    </xf>
    <xf numFmtId="165" fontId="22" fillId="0" borderId="4" xfId="0" applyNumberFormat="1" applyFont="1" applyFill="1" applyBorder="1" applyAlignment="1">
      <alignment horizontal="center"/>
    </xf>
    <xf numFmtId="1" fontId="24" fillId="0" borderId="4" xfId="0" applyNumberFormat="1" applyFont="1" applyFill="1" applyBorder="1" applyAlignment="1">
      <alignment horizontal="center"/>
    </xf>
    <xf numFmtId="164" fontId="24" fillId="0" borderId="4" xfId="0" applyNumberFormat="1" applyFont="1" applyFill="1" applyBorder="1" applyAlignment="1">
      <alignment horizontal="center"/>
    </xf>
    <xf numFmtId="2" fontId="22" fillId="0" borderId="4" xfId="0" applyNumberFormat="1" applyFont="1" applyFill="1" applyBorder="1" applyAlignment="1" quotePrefix="1">
      <alignment horizontal="center"/>
    </xf>
    <xf numFmtId="0" fontId="24" fillId="0" borderId="4" xfId="0" applyFont="1" applyFill="1" applyBorder="1" applyAlignment="1" quotePrefix="1">
      <alignment/>
    </xf>
    <xf numFmtId="0" fontId="29" fillId="0" borderId="4" xfId="22" applyFont="1" applyFill="1" applyBorder="1" applyAlignment="1">
      <alignment horizontal="center"/>
      <protection/>
    </xf>
    <xf numFmtId="1" fontId="22" fillId="0" borderId="4" xfId="0" applyNumberFormat="1" applyFont="1" applyFill="1" applyBorder="1" applyAlignment="1" quotePrefix="1">
      <alignment horizontal="center"/>
    </xf>
    <xf numFmtId="0" fontId="24" fillId="0" borderId="4" xfId="0" applyNumberFormat="1" applyFont="1" applyFill="1" applyBorder="1" applyAlignment="1">
      <alignment horizontal="center" wrapText="1"/>
    </xf>
    <xf numFmtId="2" fontId="24" fillId="0" borderId="4" xfId="0" applyNumberFormat="1" applyFont="1" applyBorder="1" applyAlignment="1" quotePrefix="1">
      <alignment horizontal="center"/>
    </xf>
    <xf numFmtId="2" fontId="24" fillId="0" borderId="4" xfId="0" applyNumberFormat="1" applyFont="1" applyFill="1" applyBorder="1" applyAlignment="1">
      <alignment horizontal="center" wrapText="1"/>
    </xf>
    <xf numFmtId="1" fontId="24" fillId="0" borderId="4" xfId="0" applyNumberFormat="1" applyFont="1" applyBorder="1" applyAlignment="1" quotePrefix="1">
      <alignment horizontal="center"/>
    </xf>
    <xf numFmtId="2" fontId="24" fillId="0" borderId="4" xfId="0" applyNumberFormat="1" applyFont="1" applyFill="1" applyBorder="1" applyAlignment="1" quotePrefix="1">
      <alignment horizontal="center"/>
    </xf>
    <xf numFmtId="177" fontId="24" fillId="0" borderId="4" xfId="0" applyNumberFormat="1" applyFont="1" applyFill="1" applyBorder="1" applyAlignment="1" quotePrefix="1">
      <alignment horizontal="center"/>
    </xf>
    <xf numFmtId="2" fontId="24" fillId="0" borderId="4" xfId="0" applyNumberFormat="1" applyFont="1" applyFill="1" applyBorder="1" applyAlignment="1">
      <alignment horizontal="center"/>
    </xf>
    <xf numFmtId="0" fontId="27" fillId="0" borderId="4" xfId="22" applyFont="1" applyFill="1" applyBorder="1" applyAlignment="1">
      <alignment vertical="top"/>
      <protection/>
    </xf>
    <xf numFmtId="3" fontId="22" fillId="0" borderId="4" xfId="0" applyNumberFormat="1" applyFont="1" applyFill="1" applyBorder="1" applyAlignment="1">
      <alignment horizontal="center" vertical="top"/>
    </xf>
    <xf numFmtId="0" fontId="27" fillId="0" borderId="4" xfId="22" applyFont="1" applyFill="1" applyBorder="1" applyAlignment="1">
      <alignment horizontal="center" vertical="top" wrapText="1"/>
      <protection/>
    </xf>
    <xf numFmtId="49" fontId="24" fillId="0" borderId="4" xfId="0" applyNumberFormat="1" applyFont="1" applyFill="1" applyBorder="1" applyAlignment="1" quotePrefix="1">
      <alignment horizontal="center" vertical="top"/>
    </xf>
    <xf numFmtId="0" fontId="24" fillId="0" borderId="4" xfId="0" applyFont="1" applyFill="1" applyBorder="1" applyAlignment="1" quotePrefix="1">
      <alignment horizontal="center" vertical="top"/>
    </xf>
    <xf numFmtId="177" fontId="22" fillId="0" borderId="4" xfId="0" applyNumberFormat="1" applyFont="1" applyFill="1" applyBorder="1" applyAlignment="1">
      <alignment horizontal="center"/>
    </xf>
    <xf numFmtId="0" fontId="22" fillId="0" borderId="4" xfId="0" applyNumberFormat="1" applyFont="1" applyFill="1" applyBorder="1" applyAlignment="1">
      <alignment horizontal="center" wrapText="1"/>
    </xf>
    <xf numFmtId="0" fontId="24" fillId="0" borderId="4" xfId="0" applyFont="1" applyFill="1" applyBorder="1" applyAlignment="1">
      <alignment horizontal="center" wrapText="1"/>
    </xf>
    <xf numFmtId="0" fontId="24" fillId="0" borderId="4" xfId="0" applyNumberFormat="1" applyFont="1" applyFill="1" applyBorder="1" applyAlignment="1">
      <alignment horizontal="center"/>
    </xf>
    <xf numFmtId="177" fontId="24" fillId="0" borderId="4" xfId="0" applyNumberFormat="1" applyFont="1" applyFill="1" applyBorder="1" applyAlignment="1">
      <alignment horizontal="center"/>
    </xf>
    <xf numFmtId="2" fontId="22" fillId="0" borderId="4" xfId="0" applyNumberFormat="1" applyFont="1" applyFill="1" applyBorder="1" applyAlignment="1">
      <alignment horizontal="center"/>
    </xf>
    <xf numFmtId="164" fontId="22" fillId="0" borderId="4" xfId="0" applyNumberFormat="1" applyFont="1" applyBorder="1" applyAlignment="1">
      <alignment horizontal="center"/>
    </xf>
    <xf numFmtId="164" fontId="22" fillId="0" borderId="4" xfId="0" applyNumberFormat="1" applyFont="1" applyBorder="1" applyAlignment="1" quotePrefix="1">
      <alignment horizontal="center"/>
    </xf>
    <xf numFmtId="2" fontId="22" fillId="0" borderId="4" xfId="0" applyNumberFormat="1" applyFont="1" applyFill="1" applyBorder="1" applyAlignment="1">
      <alignment horizontal="center" wrapText="1"/>
    </xf>
    <xf numFmtId="164" fontId="24" fillId="0" borderId="4" xfId="0" applyNumberFormat="1" applyFont="1" applyFill="1" applyBorder="1" applyAlignment="1">
      <alignment horizontal="center" wrapText="1"/>
    </xf>
    <xf numFmtId="164" fontId="24" fillId="0" borderId="4" xfId="0" applyNumberFormat="1" applyFont="1" applyBorder="1" applyAlignment="1">
      <alignment horizontal="center"/>
    </xf>
    <xf numFmtId="176" fontId="22" fillId="0" borderId="4" xfId="0" applyNumberFormat="1" applyFont="1" applyFill="1" applyBorder="1" applyAlignment="1">
      <alignment horizontal="center"/>
    </xf>
    <xf numFmtId="164" fontId="22" fillId="0" borderId="4" xfId="0" applyNumberFormat="1" applyFont="1" applyFill="1" applyBorder="1" applyAlignment="1">
      <alignment horizontal="center" wrapText="1"/>
    </xf>
    <xf numFmtId="49" fontId="24" fillId="0" borderId="4" xfId="0" applyNumberFormat="1" applyFont="1" applyFill="1" applyBorder="1" applyAlignment="1">
      <alignment horizontal="center" wrapText="1"/>
    </xf>
    <xf numFmtId="49" fontId="22" fillId="0" borderId="4" xfId="0" applyNumberFormat="1" applyFont="1" applyFill="1" applyBorder="1" applyAlignment="1">
      <alignment horizontal="center" wrapText="1"/>
    </xf>
    <xf numFmtId="165" fontId="24" fillId="0" borderId="4" xfId="0" applyNumberFormat="1" applyFont="1" applyFill="1" applyBorder="1" applyAlignment="1" quotePrefix="1">
      <alignment horizontal="center"/>
    </xf>
    <xf numFmtId="176" fontId="24" fillId="0" borderId="4" xfId="0" applyNumberFormat="1" applyFont="1" applyFill="1" applyBorder="1" applyAlignment="1">
      <alignment horizontal="center"/>
    </xf>
    <xf numFmtId="164" fontId="22" fillId="0" borderId="4" xfId="0" applyNumberFormat="1" applyFont="1" applyFill="1" applyBorder="1" applyAlignment="1" quotePrefix="1">
      <alignment horizontal="center" wrapText="1"/>
    </xf>
    <xf numFmtId="176" fontId="24" fillId="0" borderId="4" xfId="0" applyNumberFormat="1" applyFont="1" applyFill="1" applyBorder="1" applyAlignment="1" quotePrefix="1">
      <alignment horizontal="center"/>
    </xf>
    <xf numFmtId="3" fontId="27" fillId="0" borderId="4" xfId="22" applyNumberFormat="1" applyFont="1" applyFill="1" applyBorder="1" applyAlignment="1">
      <alignment/>
      <protection/>
    </xf>
    <xf numFmtId="3" fontId="27" fillId="0" borderId="4" xfId="22" applyNumberFormat="1" applyFont="1" applyFill="1" applyBorder="1" applyAlignment="1">
      <alignment horizontal="center" wrapText="1"/>
      <protection/>
    </xf>
    <xf numFmtId="0" fontId="22" fillId="0" borderId="4" xfId="0" applyFont="1" applyBorder="1" applyAlignment="1" quotePrefix="1">
      <alignment horizontal="center"/>
    </xf>
    <xf numFmtId="49" fontId="24" fillId="0" borderId="4" xfId="0" applyNumberFormat="1" applyFont="1" applyBorder="1" applyAlignment="1" quotePrefix="1">
      <alignment horizontal="center"/>
    </xf>
    <xf numFmtId="0" fontId="29" fillId="0" borderId="4" xfId="22" applyFont="1" applyFill="1" applyBorder="1" applyAlignment="1" quotePrefix="1">
      <alignment horizontal="center"/>
      <protection/>
    </xf>
    <xf numFmtId="49" fontId="24" fillId="0" borderId="4" xfId="0" applyNumberFormat="1" applyFont="1" applyFill="1" applyBorder="1" applyAlignment="1">
      <alignment horizontal="center"/>
    </xf>
    <xf numFmtId="175" fontId="24" fillId="0" borderId="4" xfId="0" applyNumberFormat="1" applyFont="1" applyFill="1" applyBorder="1" applyAlignment="1">
      <alignment horizontal="center"/>
    </xf>
    <xf numFmtId="2" fontId="22" fillId="0" borderId="4" xfId="0" applyNumberFormat="1" applyFont="1" applyBorder="1" applyAlignment="1" quotePrefix="1">
      <alignment horizontal="center"/>
    </xf>
    <xf numFmtId="0" fontId="32" fillId="0" borderId="0" xfId="0" applyFont="1" applyFill="1" applyBorder="1" applyAlignment="1">
      <alignment/>
    </xf>
    <xf numFmtId="0" fontId="32" fillId="0" borderId="0" xfId="0" applyFont="1" applyFill="1" applyBorder="1" applyAlignment="1">
      <alignment horizontal="left"/>
    </xf>
    <xf numFmtId="0" fontId="16" fillId="0" borderId="4" xfId="0" applyFont="1" applyFill="1" applyBorder="1" applyAlignment="1">
      <alignment/>
    </xf>
    <xf numFmtId="0" fontId="18" fillId="0" borderId="4" xfId="23" applyFont="1" applyFill="1" applyBorder="1" applyAlignment="1">
      <alignment wrapText="1"/>
      <protection/>
    </xf>
    <xf numFmtId="0" fontId="16" fillId="0" borderId="4" xfId="0" applyNumberFormat="1" applyFont="1" applyFill="1" applyBorder="1" applyAlignment="1">
      <alignment/>
    </xf>
    <xf numFmtId="49" fontId="17" fillId="0" borderId="4" xfId="22" applyNumberFormat="1" applyFont="1" applyFill="1" applyBorder="1" applyAlignment="1">
      <alignment horizontal="center"/>
      <protection/>
    </xf>
    <xf numFmtId="0" fontId="17" fillId="0" borderId="4" xfId="22" applyNumberFormat="1" applyFont="1" applyFill="1" applyBorder="1" applyAlignment="1">
      <alignment horizontal="center"/>
      <protection/>
    </xf>
    <xf numFmtId="0" fontId="17" fillId="0" borderId="4" xfId="22" applyFont="1" applyFill="1" applyBorder="1" applyAlignment="1">
      <alignment horizontal="center"/>
      <protection/>
    </xf>
    <xf numFmtId="0" fontId="16" fillId="0" borderId="0" xfId="0" applyFont="1" applyBorder="1" applyAlignment="1">
      <alignment/>
    </xf>
    <xf numFmtId="0" fontId="16" fillId="0" borderId="0" xfId="0" applyFont="1" applyBorder="1" applyAlignment="1">
      <alignment horizontal="center"/>
    </xf>
    <xf numFmtId="11" fontId="0" fillId="0" borderId="0" xfId="0" applyNumberFormat="1" applyFont="1" applyBorder="1" applyAlignment="1">
      <alignment wrapText="1"/>
    </xf>
    <xf numFmtId="11" fontId="0" fillId="0" borderId="0" xfId="0" applyNumberFormat="1" applyFont="1" applyAlignment="1">
      <alignment wrapText="1"/>
    </xf>
    <xf numFmtId="11" fontId="16" fillId="0" borderId="0" xfId="0" applyNumberFormat="1" applyFont="1" applyBorder="1" applyAlignment="1">
      <alignment wrapText="1"/>
    </xf>
    <xf numFmtId="11" fontId="16" fillId="0" borderId="0" xfId="0" applyNumberFormat="1" applyFont="1" applyAlignment="1">
      <alignment wrapText="1"/>
    </xf>
    <xf numFmtId="0" fontId="16" fillId="0" borderId="4" xfId="0" applyFont="1" applyBorder="1" applyAlignment="1">
      <alignment horizontal="center" vertical="center" wrapText="1"/>
    </xf>
    <xf numFmtId="0" fontId="16" fillId="0" borderId="4" xfId="0" applyFont="1" applyFill="1" applyBorder="1" applyAlignment="1">
      <alignment horizontal="center" vertical="center" wrapText="1"/>
    </xf>
    <xf numFmtId="0" fontId="16" fillId="0" borderId="5" xfId="0" applyFont="1" applyBorder="1" applyAlignment="1">
      <alignment horizontal="center" vertical="center" wrapText="1"/>
    </xf>
    <xf numFmtId="0" fontId="4" fillId="0" borderId="4" xfId="0" applyFont="1" applyBorder="1" applyAlignment="1">
      <alignment wrapText="1"/>
    </xf>
    <xf numFmtId="0" fontId="5" fillId="0" borderId="0" xfId="0" applyFont="1" applyFill="1" applyAlignment="1">
      <alignment horizontal="center"/>
    </xf>
    <xf numFmtId="0" fontId="24" fillId="0" borderId="5" xfId="0" applyFont="1" applyFill="1" applyBorder="1" applyAlignment="1" quotePrefix="1">
      <alignment horizontal="center" wrapText="1"/>
    </xf>
    <xf numFmtId="0" fontId="28" fillId="0" borderId="4" xfId="0" applyFont="1" applyFill="1" applyBorder="1" applyAlignment="1" quotePrefix="1">
      <alignment horizontal="center"/>
    </xf>
    <xf numFmtId="177" fontId="22" fillId="0" borderId="4" xfId="0" applyNumberFormat="1" applyFont="1" applyFill="1" applyBorder="1" applyAlignment="1" quotePrefix="1">
      <alignment horizontal="center"/>
    </xf>
    <xf numFmtId="0" fontId="24" fillId="0" borderId="4" xfId="0" applyFont="1" applyFill="1" applyBorder="1" applyAlignment="1">
      <alignment horizontal="center" vertical="top" wrapText="1"/>
    </xf>
    <xf numFmtId="177" fontId="24" fillId="0" borderId="4" xfId="0" applyNumberFormat="1" applyFont="1" applyFill="1" applyBorder="1" applyAlignment="1">
      <alignment horizontal="center" wrapText="1"/>
    </xf>
    <xf numFmtId="2" fontId="24" fillId="0" borderId="4" xfId="0" applyNumberFormat="1" applyFont="1" applyFill="1" applyBorder="1" applyAlignment="1" quotePrefix="1">
      <alignment horizontal="center" wrapText="1"/>
    </xf>
    <xf numFmtId="0" fontId="15" fillId="0" borderId="0" xfId="0" applyFont="1" applyAlignment="1">
      <alignment horizontal="center"/>
    </xf>
    <xf numFmtId="0" fontId="15" fillId="0" borderId="0" xfId="0" applyFont="1" applyFill="1" applyAlignment="1">
      <alignment horizontal="center"/>
    </xf>
    <xf numFmtId="0" fontId="15" fillId="0" borderId="0" xfId="0" applyNumberFormat="1" applyFont="1" applyAlignment="1">
      <alignment horizontal="center"/>
    </xf>
    <xf numFmtId="0" fontId="15" fillId="0" borderId="7" xfId="0" applyFont="1" applyFill="1" applyBorder="1" applyAlignment="1">
      <alignment/>
    </xf>
    <xf numFmtId="0" fontId="0" fillId="0" borderId="8" xfId="0" applyBorder="1" applyAlignment="1">
      <alignment wrapText="1"/>
    </xf>
    <xf numFmtId="0" fontId="23" fillId="0" borderId="9" xfId="22" applyFont="1" applyFill="1" applyBorder="1" applyAlignment="1">
      <alignment/>
      <protection/>
    </xf>
    <xf numFmtId="0" fontId="23" fillId="0" borderId="4" xfId="0" applyFont="1" applyFill="1" applyBorder="1" applyAlignment="1">
      <alignment horizontal="center"/>
    </xf>
    <xf numFmtId="0" fontId="23" fillId="0" borderId="4" xfId="0" applyFont="1" applyFill="1" applyBorder="1" applyAlignment="1">
      <alignment horizontal="center" wrapText="1"/>
    </xf>
    <xf numFmtId="0" fontId="23" fillId="0" borderId="4" xfId="0" applyFont="1" applyFill="1" applyBorder="1" applyAlignment="1" quotePrefix="1">
      <alignment horizontal="center" wrapText="1"/>
    </xf>
    <xf numFmtId="49" fontId="23" fillId="0" borderId="4" xfId="0" applyNumberFormat="1" applyFont="1" applyFill="1" applyBorder="1" applyAlignment="1" quotePrefix="1">
      <alignment horizontal="center" wrapText="1"/>
    </xf>
    <xf numFmtId="3" fontId="23" fillId="0" borderId="4" xfId="0" applyNumberFormat="1" applyFont="1" applyFill="1" applyBorder="1" applyAlignment="1" quotePrefix="1">
      <alignment horizontal="center" wrapText="1"/>
    </xf>
    <xf numFmtId="0" fontId="23" fillId="0" borderId="4" xfId="0" applyNumberFormat="1" applyFont="1" applyFill="1" applyBorder="1" applyAlignment="1" quotePrefix="1">
      <alignment horizontal="center" wrapText="1"/>
    </xf>
    <xf numFmtId="0" fontId="23" fillId="0" borderId="10" xfId="0" applyFont="1" applyFill="1" applyBorder="1" applyAlignment="1" quotePrefix="1">
      <alignment wrapText="1"/>
    </xf>
    <xf numFmtId="0" fontId="23" fillId="0" borderId="9" xfId="0" applyFont="1" applyFill="1" applyBorder="1" applyAlignment="1">
      <alignment wrapText="1"/>
    </xf>
    <xf numFmtId="0" fontId="36" fillId="0" borderId="9" xfId="22" applyFont="1" applyFill="1" applyBorder="1" applyAlignment="1">
      <alignment/>
      <protection/>
    </xf>
    <xf numFmtId="49" fontId="23" fillId="0" borderId="4" xfId="0" applyNumberFormat="1" applyFont="1" applyFill="1" applyBorder="1" applyAlignment="1">
      <alignment horizontal="center" wrapText="1"/>
    </xf>
    <xf numFmtId="3" fontId="23" fillId="0" borderId="4" xfId="0" applyNumberFormat="1" applyFont="1" applyFill="1" applyBorder="1" applyAlignment="1">
      <alignment horizontal="center" wrapText="1"/>
    </xf>
    <xf numFmtId="4" fontId="23" fillId="0" borderId="4" xfId="0" applyNumberFormat="1" applyFont="1" applyFill="1" applyBorder="1" applyAlignment="1">
      <alignment horizontal="center"/>
    </xf>
    <xf numFmtId="0" fontId="23" fillId="0" borderId="4" xfId="0" applyNumberFormat="1" applyFont="1" applyFill="1" applyBorder="1" applyAlignment="1">
      <alignment horizontal="center"/>
    </xf>
    <xf numFmtId="2" fontId="23" fillId="0" borderId="4" xfId="0" applyNumberFormat="1" applyFont="1" applyFill="1" applyBorder="1" applyAlignment="1">
      <alignment horizontal="center" wrapText="1"/>
    </xf>
    <xf numFmtId="4" fontId="23" fillId="0" borderId="4" xfId="0" applyNumberFormat="1" applyFont="1" applyFill="1" applyBorder="1" applyAlignment="1">
      <alignment horizontal="center" wrapText="1"/>
    </xf>
    <xf numFmtId="0" fontId="23" fillId="0" borderId="4" xfId="0" applyNumberFormat="1" applyFont="1" applyFill="1" applyBorder="1" applyAlignment="1">
      <alignment horizontal="center" wrapText="1"/>
    </xf>
    <xf numFmtId="0" fontId="23" fillId="0" borderId="10" xfId="0" applyFont="1" applyFill="1" applyBorder="1" applyAlignment="1">
      <alignment wrapText="1"/>
    </xf>
    <xf numFmtId="2" fontId="23" fillId="0" borderId="4" xfId="0" applyNumberFormat="1" applyFont="1" applyFill="1" applyBorder="1" applyAlignment="1">
      <alignment horizontal="center"/>
    </xf>
    <xf numFmtId="165" fontId="23" fillId="0" borderId="4" xfId="0" applyNumberFormat="1" applyFont="1" applyFill="1" applyBorder="1" applyAlignment="1" quotePrefix="1">
      <alignment horizontal="center" wrapText="1"/>
    </xf>
    <xf numFmtId="4" fontId="23" fillId="0" borderId="4" xfId="0" applyNumberFormat="1" applyFont="1" applyFill="1" applyBorder="1" applyAlignment="1" quotePrefix="1">
      <alignment horizontal="center" wrapText="1"/>
    </xf>
    <xf numFmtId="3" fontId="23" fillId="0" borderId="4" xfId="0" applyNumberFormat="1" applyFont="1" applyFill="1" applyBorder="1" applyAlignment="1">
      <alignment horizontal="center"/>
    </xf>
    <xf numFmtId="0" fontId="23" fillId="0" borderId="4" xfId="0" applyFont="1" applyFill="1" applyBorder="1" applyAlignment="1" quotePrefix="1">
      <alignment horizontal="center"/>
    </xf>
    <xf numFmtId="4" fontId="23" fillId="0" borderId="4" xfId="0" applyNumberFormat="1" applyFont="1" applyFill="1" applyBorder="1" applyAlignment="1" quotePrefix="1">
      <alignment horizontal="center"/>
    </xf>
    <xf numFmtId="0" fontId="23" fillId="0" borderId="10" xfId="0" applyFont="1" applyFill="1" applyBorder="1" applyAlignment="1" quotePrefix="1">
      <alignment/>
    </xf>
    <xf numFmtId="0" fontId="23" fillId="0" borderId="4" xfId="0" applyFont="1" applyBorder="1" applyAlignment="1">
      <alignment horizontal="center"/>
    </xf>
    <xf numFmtId="4" fontId="23" fillId="0" borderId="4" xfId="0" applyNumberFormat="1" applyFont="1" applyBorder="1" applyAlignment="1">
      <alignment horizontal="center"/>
    </xf>
    <xf numFmtId="0" fontId="23" fillId="0" borderId="9" xfId="0" applyFont="1" applyFill="1" applyBorder="1" applyAlignment="1">
      <alignment/>
    </xf>
    <xf numFmtId="3" fontId="23" fillId="0" borderId="4" xfId="0" applyNumberFormat="1" applyFont="1" applyFill="1" applyBorder="1" applyAlignment="1" quotePrefix="1">
      <alignment horizontal="center"/>
    </xf>
    <xf numFmtId="12" fontId="23" fillId="0" borderId="4" xfId="0" applyNumberFormat="1" applyFont="1" applyFill="1" applyBorder="1" applyAlignment="1">
      <alignment horizontal="center" wrapText="1"/>
    </xf>
    <xf numFmtId="0" fontId="23" fillId="0" borderId="4" xfId="0" applyNumberFormat="1" applyFont="1" applyBorder="1" applyAlignment="1" quotePrefix="1">
      <alignment horizontal="center"/>
    </xf>
    <xf numFmtId="0" fontId="38" fillId="0" borderId="4" xfId="0" applyFont="1" applyFill="1" applyBorder="1" applyAlignment="1">
      <alignment horizontal="center" wrapText="1"/>
    </xf>
    <xf numFmtId="2" fontId="23" fillId="0" borderId="4" xfId="0" applyNumberFormat="1" applyFont="1" applyFill="1" applyBorder="1" applyAlignment="1" quotePrefix="1">
      <alignment horizontal="center" wrapText="1"/>
    </xf>
    <xf numFmtId="0" fontId="23" fillId="0" borderId="4" xfId="0" applyNumberFormat="1" applyFont="1" applyFill="1" applyBorder="1" applyAlignment="1" quotePrefix="1">
      <alignment horizontal="center"/>
    </xf>
    <xf numFmtId="0" fontId="23" fillId="0" borderId="4" xfId="0" applyNumberFormat="1" applyFont="1" applyBorder="1" applyAlignment="1" quotePrefix="1">
      <alignment horizontal="center" wrapText="1"/>
    </xf>
    <xf numFmtId="177" fontId="23" fillId="0" borderId="4" xfId="0" applyNumberFormat="1" applyFont="1" applyFill="1" applyBorder="1" applyAlignment="1" quotePrefix="1">
      <alignment horizontal="center" wrapText="1"/>
    </xf>
    <xf numFmtId="2" fontId="23" fillId="0" borderId="4" xfId="0" applyNumberFormat="1" applyFont="1" applyFill="1" applyBorder="1" applyAlignment="1" quotePrefix="1">
      <alignment horizontal="center"/>
    </xf>
    <xf numFmtId="0" fontId="36" fillId="0" borderId="9" xfId="22" applyFont="1" applyFill="1" applyBorder="1" applyAlignment="1">
      <alignment wrapText="1"/>
      <protection/>
    </xf>
    <xf numFmtId="0" fontId="23" fillId="0" borderId="4" xfId="0" applyNumberFormat="1" applyFont="1" applyBorder="1" applyAlignment="1">
      <alignment horizontal="center"/>
    </xf>
    <xf numFmtId="164" fontId="23" fillId="0" borderId="4" xfId="0" applyNumberFormat="1" applyFont="1" applyFill="1" applyBorder="1" applyAlignment="1">
      <alignment horizontal="center" wrapText="1"/>
    </xf>
    <xf numFmtId="164" fontId="23" fillId="0" borderId="4" xfId="0" applyNumberFormat="1" applyFont="1" applyFill="1" applyBorder="1" applyAlignment="1" quotePrefix="1">
      <alignment horizontal="center" wrapText="1"/>
    </xf>
    <xf numFmtId="3" fontId="23" fillId="0" borderId="4" xfId="0" applyNumberFormat="1" applyFont="1" applyBorder="1" applyAlignment="1">
      <alignment horizontal="center"/>
    </xf>
    <xf numFmtId="49" fontId="23" fillId="0" borderId="10" xfId="0" applyNumberFormat="1" applyFont="1" applyFill="1" applyBorder="1" applyAlignment="1">
      <alignment wrapText="1"/>
    </xf>
    <xf numFmtId="0" fontId="23" fillId="0" borderId="9" xfId="0" applyFont="1" applyFill="1" applyBorder="1" applyAlignment="1">
      <alignment horizontal="left" wrapText="1"/>
    </xf>
    <xf numFmtId="0" fontId="36" fillId="0" borderId="4" xfId="22" applyFont="1" applyFill="1" applyBorder="1" applyAlignment="1">
      <alignment horizontal="center"/>
      <protection/>
    </xf>
    <xf numFmtId="0" fontId="36" fillId="0" borderId="9" xfId="22" applyFont="1" applyFill="1" applyBorder="1" applyAlignment="1">
      <alignment vertical="top"/>
      <protection/>
    </xf>
    <xf numFmtId="3" fontId="23" fillId="0" borderId="4" xfId="0" applyNumberFormat="1" applyFont="1" applyFill="1" applyBorder="1" applyAlignment="1">
      <alignment horizontal="center" vertical="top"/>
    </xf>
    <xf numFmtId="1" fontId="23" fillId="0" borderId="4" xfId="0" applyNumberFormat="1" applyFont="1" applyFill="1" applyBorder="1" applyAlignment="1">
      <alignment horizontal="center"/>
    </xf>
    <xf numFmtId="164" fontId="23" fillId="0" borderId="4" xfId="0" applyNumberFormat="1" applyFont="1" applyFill="1" applyBorder="1" applyAlignment="1">
      <alignment horizontal="center"/>
    </xf>
    <xf numFmtId="0" fontId="23" fillId="0" borderId="4" xfId="0" applyFont="1" applyFill="1" applyBorder="1" applyAlignment="1" quotePrefix="1">
      <alignment/>
    </xf>
    <xf numFmtId="0" fontId="36" fillId="0" borderId="11" xfId="22" applyFont="1" applyFill="1" applyBorder="1" applyAlignment="1">
      <alignment/>
      <protection/>
    </xf>
    <xf numFmtId="164" fontId="23" fillId="0" borderId="12" xfId="0" applyNumberFormat="1" applyFont="1" applyFill="1" applyBorder="1" applyAlignment="1">
      <alignment horizontal="center"/>
    </xf>
    <xf numFmtId="0" fontId="23" fillId="0" borderId="12" xfId="0" applyFont="1" applyFill="1" applyBorder="1" applyAlignment="1" quotePrefix="1">
      <alignment horizontal="center"/>
    </xf>
    <xf numFmtId="4" fontId="23" fillId="0" borderId="12" xfId="0" applyNumberFormat="1" applyFont="1" applyFill="1" applyBorder="1" applyAlignment="1" quotePrefix="1">
      <alignment horizontal="center"/>
    </xf>
    <xf numFmtId="165" fontId="23" fillId="0" borderId="12" xfId="0" applyNumberFormat="1" applyFont="1" applyFill="1" applyBorder="1" applyAlignment="1" quotePrefix="1">
      <alignment horizontal="center" wrapText="1"/>
    </xf>
    <xf numFmtId="0" fontId="23" fillId="0" borderId="13" xfId="0" applyFont="1" applyFill="1" applyBorder="1" applyAlignment="1" quotePrefix="1">
      <alignment/>
    </xf>
    <xf numFmtId="0" fontId="23" fillId="0" borderId="14" xfId="0" applyFont="1" applyFill="1" applyBorder="1" applyAlignment="1">
      <alignment/>
    </xf>
    <xf numFmtId="0" fontId="23" fillId="0" borderId="14" xfId="0" applyFont="1" applyFill="1" applyBorder="1" applyAlignment="1">
      <alignment horizontal="center"/>
    </xf>
    <xf numFmtId="0" fontId="23" fillId="0" borderId="14" xfId="0" applyNumberFormat="1" applyFont="1" applyFill="1" applyBorder="1" applyAlignment="1">
      <alignment horizontal="center"/>
    </xf>
    <xf numFmtId="0" fontId="23" fillId="0" borderId="14" xfId="0" applyFont="1" applyBorder="1" applyAlignment="1" quotePrefix="1">
      <alignment/>
    </xf>
    <xf numFmtId="0" fontId="23" fillId="0" borderId="0" xfId="0" applyFont="1" applyFill="1" applyBorder="1" applyAlignment="1">
      <alignment/>
    </xf>
    <xf numFmtId="0" fontId="41" fillId="0" borderId="0" xfId="0" applyFont="1" applyFill="1" applyBorder="1" applyAlignment="1" quotePrefix="1">
      <alignment horizontal="center"/>
    </xf>
    <xf numFmtId="0" fontId="23" fillId="0" borderId="0" xfId="0" applyFont="1" applyFill="1" applyBorder="1" applyAlignment="1" quotePrefix="1">
      <alignment horizontal="center"/>
    </xf>
    <xf numFmtId="0" fontId="23" fillId="0" borderId="0" xfId="0" applyFont="1" applyBorder="1" applyAlignment="1" quotePrefix="1">
      <alignment horizontal="center"/>
    </xf>
    <xf numFmtId="0" fontId="23" fillId="0" borderId="0" xfId="0" applyNumberFormat="1" applyFont="1" applyBorder="1" applyAlignment="1" quotePrefix="1">
      <alignment horizontal="center"/>
    </xf>
    <xf numFmtId="0" fontId="23" fillId="0" borderId="0" xfId="0" applyFont="1" applyBorder="1" applyAlignment="1" quotePrefix="1">
      <alignment/>
    </xf>
    <xf numFmtId="0" fontId="37" fillId="0" borderId="0" xfId="0" applyFont="1" applyFill="1" applyBorder="1" applyAlignment="1">
      <alignment/>
    </xf>
    <xf numFmtId="0" fontId="37" fillId="0" borderId="0" xfId="0" applyFont="1" applyFill="1" applyBorder="1" applyAlignment="1" quotePrefix="1">
      <alignment horizontal="center"/>
    </xf>
    <xf numFmtId="0" fontId="37" fillId="0" borderId="0" xfId="0" applyFont="1" applyFill="1" applyBorder="1" applyAlignment="1">
      <alignment horizontal="left"/>
    </xf>
    <xf numFmtId="0" fontId="28" fillId="0" borderId="4" xfId="0" applyFont="1" applyBorder="1" applyAlignment="1" quotePrefix="1">
      <alignment horizontal="center"/>
    </xf>
    <xf numFmtId="1" fontId="22" fillId="0" borderId="4" xfId="0" applyNumberFormat="1" applyFont="1" applyBorder="1" applyAlignment="1" quotePrefix="1">
      <alignment horizontal="center"/>
    </xf>
    <xf numFmtId="0" fontId="24" fillId="0" borderId="4" xfId="0" applyFont="1" applyBorder="1" applyAlignment="1">
      <alignment horizontal="center" wrapText="1"/>
    </xf>
    <xf numFmtId="2" fontId="22" fillId="0" borderId="4" xfId="0" applyNumberFormat="1" applyFont="1" applyBorder="1" applyAlignment="1">
      <alignment horizontal="center"/>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23" fillId="0" borderId="19" xfId="0" applyFont="1"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23" fillId="0" borderId="0" xfId="0" applyFont="1" applyBorder="1" applyAlignment="1">
      <alignment horizontal="left" vertical="center" wrapText="1"/>
    </xf>
    <xf numFmtId="49" fontId="22" fillId="0" borderId="23" xfId="0" applyNumberFormat="1" applyFont="1" applyFill="1" applyBorder="1" applyAlignment="1">
      <alignment horizontal="center" vertical="center" wrapText="1"/>
    </xf>
    <xf numFmtId="49" fontId="22" fillId="0" borderId="24" xfId="0" applyNumberFormat="1" applyFont="1" applyFill="1" applyBorder="1" applyAlignment="1">
      <alignment horizontal="center" vertical="center" wrapText="1"/>
    </xf>
    <xf numFmtId="49" fontId="22" fillId="0" borderId="25" xfId="0" applyNumberFormat="1" applyFont="1" applyFill="1" applyBorder="1" applyAlignment="1">
      <alignment horizontal="center" vertical="center" wrapText="1"/>
    </xf>
    <xf numFmtId="49" fontId="22" fillId="0" borderId="26" xfId="0" applyNumberFormat="1" applyFont="1" applyFill="1" applyBorder="1" applyAlignment="1">
      <alignment horizontal="center" vertical="center" wrapText="1"/>
    </xf>
    <xf numFmtId="0" fontId="7" fillId="0" borderId="27" xfId="0" applyFont="1" applyFill="1" applyBorder="1" applyAlignment="1">
      <alignment horizontal="center" vertical="top"/>
    </xf>
    <xf numFmtId="0" fontId="7" fillId="0" borderId="28" xfId="0" applyFont="1" applyFill="1" applyBorder="1" applyAlignment="1">
      <alignment horizontal="center" vertical="top"/>
    </xf>
    <xf numFmtId="0" fontId="22" fillId="0" borderId="27"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28" xfId="0" applyFont="1" applyBorder="1" applyAlignment="1">
      <alignment horizontal="center" vertical="center" wrapText="1"/>
    </xf>
    <xf numFmtId="0" fontId="22" fillId="0" borderId="30" xfId="0" applyFont="1" applyBorder="1" applyAlignment="1">
      <alignment horizontal="center" vertical="center" wrapText="1"/>
    </xf>
    <xf numFmtId="0" fontId="22" fillId="0" borderId="5" xfId="0" applyFont="1" applyBorder="1" applyAlignment="1">
      <alignment horizontal="center" vertical="center" wrapText="1"/>
    </xf>
    <xf numFmtId="0" fontId="21" fillId="0" borderId="0" xfId="0" applyFont="1" applyBorder="1" applyAlignment="1">
      <alignment horizontal="center"/>
    </xf>
    <xf numFmtId="0" fontId="22" fillId="0" borderId="30"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5" xfId="0" applyFont="1" applyFill="1" applyBorder="1" applyAlignment="1">
      <alignment horizontal="center" vertical="center"/>
    </xf>
    <xf numFmtId="49" fontId="22" fillId="0" borderId="30" xfId="0" applyNumberFormat="1" applyFont="1" applyFill="1" applyBorder="1" applyAlignment="1">
      <alignment horizontal="center" vertical="center" wrapText="1"/>
    </xf>
    <xf numFmtId="49" fontId="22" fillId="0" borderId="5" xfId="0" applyNumberFormat="1" applyFont="1" applyFill="1" applyBorder="1" applyAlignment="1">
      <alignment horizontal="center" vertical="center" wrapText="1"/>
    </xf>
    <xf numFmtId="49" fontId="20" fillId="0" borderId="0" xfId="0" applyNumberFormat="1" applyFont="1" applyFill="1" applyAlignment="1">
      <alignment horizontal="center"/>
    </xf>
    <xf numFmtId="49" fontId="21" fillId="0" borderId="0" xfId="0" applyNumberFormat="1" applyFont="1" applyFill="1" applyAlignment="1">
      <alignment horizontal="center"/>
    </xf>
    <xf numFmtId="49" fontId="20" fillId="0" borderId="0" xfId="0" applyNumberFormat="1" applyFont="1" applyFill="1" applyBorder="1" applyAlignment="1">
      <alignment horizontal="center" wrapText="1"/>
    </xf>
    <xf numFmtId="11" fontId="23" fillId="0" borderId="0" xfId="0" applyNumberFormat="1" applyFont="1" applyFill="1" applyBorder="1" applyAlignment="1">
      <alignment horizontal="left" wrapText="1"/>
    </xf>
    <xf numFmtId="49" fontId="24" fillId="0" borderId="0" xfId="0" applyNumberFormat="1" applyFont="1" applyFill="1" applyBorder="1" applyAlignment="1">
      <alignment horizontal="left"/>
    </xf>
    <xf numFmtId="11" fontId="0" fillId="0" borderId="0" xfId="0" applyNumberFormat="1" applyFont="1" applyBorder="1" applyAlignment="1">
      <alignment horizontal="left" wrapText="1"/>
    </xf>
    <xf numFmtId="49" fontId="23" fillId="0" borderId="0" xfId="0" applyNumberFormat="1" applyFont="1" applyFill="1" applyBorder="1" applyAlignment="1">
      <alignment horizontal="left" wrapText="1"/>
    </xf>
    <xf numFmtId="0" fontId="0" fillId="0" borderId="0" xfId="0" applyFont="1" applyFill="1" applyBorder="1" applyAlignment="1">
      <alignment wrapText="1"/>
    </xf>
    <xf numFmtId="0" fontId="0" fillId="0" borderId="0" xfId="0" applyFont="1" applyAlignment="1">
      <alignment wrapText="1"/>
    </xf>
    <xf numFmtId="0" fontId="0" fillId="0" borderId="0" xfId="0" applyFont="1" applyAlignment="1">
      <alignment horizontal="left" wrapText="1"/>
    </xf>
    <xf numFmtId="0" fontId="0" fillId="0" borderId="0" xfId="0" applyFont="1" applyAlignment="1">
      <alignment readingOrder="1"/>
    </xf>
    <xf numFmtId="49" fontId="15" fillId="0" borderId="0" xfId="0" applyNumberFormat="1" applyFont="1" applyFill="1" applyBorder="1" applyAlignment="1">
      <alignment horizontal="center" wrapText="1"/>
    </xf>
    <xf numFmtId="0" fontId="4" fillId="0" borderId="4" xfId="0" applyFont="1" applyBorder="1" applyAlignment="1">
      <alignment/>
    </xf>
    <xf numFmtId="0" fontId="4" fillId="0" borderId="30" xfId="0" applyFont="1" applyBorder="1" applyAlignment="1">
      <alignment horizontal="center"/>
    </xf>
    <xf numFmtId="0" fontId="4" fillId="0" borderId="5" xfId="0" applyFont="1" applyBorder="1" applyAlignment="1">
      <alignment horizontal="center"/>
    </xf>
    <xf numFmtId="0" fontId="15" fillId="0" borderId="0" xfId="0" applyFont="1" applyAlignment="1">
      <alignment horizontal="center"/>
    </xf>
    <xf numFmtId="0" fontId="4" fillId="0" borderId="30" xfId="0" applyFont="1" applyBorder="1" applyAlignment="1">
      <alignment horizontal="center" wrapText="1"/>
    </xf>
    <xf numFmtId="0" fontId="4" fillId="0" borderId="5" xfId="0" applyFont="1" applyBorder="1" applyAlignment="1">
      <alignment horizontal="center" wrapText="1"/>
    </xf>
    <xf numFmtId="0" fontId="35" fillId="0" borderId="9" xfId="0" applyFont="1" applyFill="1" applyBorder="1" applyAlignment="1">
      <alignment vertical="center"/>
    </xf>
    <xf numFmtId="0" fontId="35" fillId="0" borderId="4" xfId="0" applyFont="1" applyFill="1" applyBorder="1" applyAlignment="1">
      <alignment vertical="center"/>
    </xf>
    <xf numFmtId="0" fontId="35" fillId="0" borderId="10" xfId="0" applyFont="1" applyFill="1" applyBorder="1" applyAlignment="1">
      <alignment vertical="center"/>
    </xf>
    <xf numFmtId="0" fontId="33" fillId="0" borderId="30"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23" fillId="0" borderId="4" xfId="0" applyFont="1" applyFill="1" applyBorder="1" applyAlignment="1">
      <alignment horizontal="center" wrapText="1"/>
    </xf>
    <xf numFmtId="0" fontId="33" fillId="0" borderId="30" xfId="0" applyNumberFormat="1" applyFont="1" applyFill="1" applyBorder="1" applyAlignment="1">
      <alignment horizontal="center" vertical="center" wrapText="1"/>
    </xf>
    <xf numFmtId="0" fontId="33" fillId="0" borderId="31" xfId="0" applyNumberFormat="1" applyFont="1" applyFill="1" applyBorder="1" applyAlignment="1">
      <alignment horizontal="center" vertical="center" wrapText="1"/>
    </xf>
    <xf numFmtId="0" fontId="33" fillId="0" borderId="32" xfId="0" applyNumberFormat="1"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3" fillId="0" borderId="35" xfId="0" applyFont="1" applyFill="1" applyBorder="1" applyAlignment="1">
      <alignment horizontal="center" vertical="center" wrapText="1"/>
    </xf>
    <xf numFmtId="0" fontId="35" fillId="0" borderId="36" xfId="0" applyFont="1" applyFill="1" applyBorder="1" applyAlignment="1">
      <alignment horizontal="left"/>
    </xf>
    <xf numFmtId="0" fontId="35" fillId="0" borderId="37" xfId="0" applyFont="1" applyFill="1" applyBorder="1" applyAlignment="1">
      <alignment horizontal="left"/>
    </xf>
    <xf numFmtId="0" fontId="35" fillId="0" borderId="38" xfId="0" applyFont="1" applyFill="1" applyBorder="1" applyAlignment="1">
      <alignment horizontal="left"/>
    </xf>
    <xf numFmtId="0" fontId="35" fillId="0" borderId="9" xfId="0" applyFont="1" applyFill="1" applyBorder="1" applyAlignment="1">
      <alignment horizontal="left"/>
    </xf>
    <xf numFmtId="0" fontId="35" fillId="0" borderId="4" xfId="0" applyFont="1" applyFill="1" applyBorder="1" applyAlignment="1">
      <alignment horizontal="left"/>
    </xf>
    <xf numFmtId="0" fontId="35" fillId="0" borderId="10" xfId="0" applyFont="1" applyFill="1" applyBorder="1" applyAlignment="1">
      <alignment horizontal="left"/>
    </xf>
    <xf numFmtId="0" fontId="35" fillId="0" borderId="4" xfId="0" applyFont="1" applyBorder="1" applyAlignment="1">
      <alignment vertical="center"/>
    </xf>
    <xf numFmtId="0" fontId="35" fillId="0" borderId="10" xfId="0" applyFont="1" applyBorder="1" applyAlignment="1">
      <alignment vertical="center"/>
    </xf>
    <xf numFmtId="0" fontId="21" fillId="0" borderId="0" xfId="0" applyFont="1" applyFill="1" applyAlignment="1">
      <alignment horizontal="center"/>
    </xf>
    <xf numFmtId="0" fontId="21" fillId="0" borderId="0" xfId="0" applyFont="1" applyAlignment="1">
      <alignment horizontal="center"/>
    </xf>
    <xf numFmtId="0" fontId="15" fillId="0" borderId="39" xfId="0" applyFont="1" applyFill="1" applyBorder="1" applyAlignment="1">
      <alignment horizontal="center" vertical="center"/>
    </xf>
    <xf numFmtId="0" fontId="15" fillId="0" borderId="40" xfId="0" applyFont="1" applyFill="1" applyBorder="1" applyAlignment="1">
      <alignment horizontal="center" vertical="center"/>
    </xf>
    <xf numFmtId="0" fontId="15" fillId="0" borderId="41" xfId="0" applyFont="1" applyFill="1" applyBorder="1" applyAlignment="1">
      <alignment horizontal="center" vertical="center"/>
    </xf>
    <xf numFmtId="0" fontId="33" fillId="0" borderId="42" xfId="0" applyFont="1" applyFill="1" applyBorder="1" applyAlignment="1">
      <alignment horizontal="center" vertical="center" wrapText="1"/>
    </xf>
    <xf numFmtId="0" fontId="15" fillId="0" borderId="7" xfId="0" applyFont="1" applyFill="1" applyBorder="1" applyAlignment="1">
      <alignment horizontal="center" wrapText="1"/>
    </xf>
    <xf numFmtId="0" fontId="15" fillId="0" borderId="43" xfId="0" applyFont="1" applyFill="1" applyBorder="1" applyAlignment="1">
      <alignment horizontal="center" wrapText="1"/>
    </xf>
    <xf numFmtId="0" fontId="15" fillId="0" borderId="37" xfId="0" applyFont="1" applyFill="1" applyBorder="1" applyAlignment="1">
      <alignment horizontal="center" wrapText="1"/>
    </xf>
    <xf numFmtId="0" fontId="15" fillId="0" borderId="37" xfId="0" applyNumberFormat="1" applyFont="1" applyFill="1" applyBorder="1" applyAlignment="1">
      <alignment horizontal="center" wrapText="1"/>
    </xf>
    <xf numFmtId="0" fontId="33" fillId="0" borderId="24" xfId="0" applyFont="1" applyFill="1" applyBorder="1" applyAlignment="1">
      <alignment horizontal="center" vertical="center" wrapText="1"/>
    </xf>
    <xf numFmtId="0" fontId="34" fillId="0" borderId="2" xfId="0" applyFont="1" applyFill="1" applyBorder="1" applyAlignment="1">
      <alignment horizontal="center" vertical="center"/>
    </xf>
    <xf numFmtId="0" fontId="34" fillId="0" borderId="44" xfId="0" applyFont="1" applyFill="1" applyBorder="1" applyAlignment="1">
      <alignment horizontal="center" vertical="center"/>
    </xf>
  </cellXfs>
  <cellStyles count="11">
    <cellStyle name="Normal" xfId="0"/>
    <cellStyle name="Comma" xfId="15"/>
    <cellStyle name="Comma [0]" xfId="16"/>
    <cellStyle name="Currency" xfId="17"/>
    <cellStyle name="Currency [0]" xfId="18"/>
    <cellStyle name="Followed Hyperlink" xfId="19"/>
    <cellStyle name="Hyperlink" xfId="20"/>
    <cellStyle name="Normal_reconciled list" xfId="21"/>
    <cellStyle name="Normal_Sheet1" xfId="22"/>
    <cellStyle name="Normal_Sheet2"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B2:R10"/>
  <sheetViews>
    <sheetView tabSelected="1" workbookViewId="0" topLeftCell="A1">
      <selection activeCell="C8" sqref="C8"/>
    </sheetView>
  </sheetViews>
  <sheetFormatPr defaultColWidth="9.140625" defaultRowHeight="12.75"/>
  <cols>
    <col min="1" max="1" width="2.00390625" style="0" customWidth="1"/>
    <col min="2" max="2" width="3.00390625" style="0" customWidth="1"/>
    <col min="17" max="17" width="8.140625" style="0" customWidth="1"/>
    <col min="18" max="18" width="2.140625" style="0" customWidth="1"/>
  </cols>
  <sheetData>
    <row r="1" ht="13.5" thickBot="1"/>
    <row r="2" spans="2:18" ht="12.75">
      <c r="B2" s="246"/>
      <c r="C2" s="247"/>
      <c r="D2" s="247"/>
      <c r="E2" s="247"/>
      <c r="F2" s="247"/>
      <c r="G2" s="247"/>
      <c r="H2" s="247"/>
      <c r="I2" s="247"/>
      <c r="J2" s="247"/>
      <c r="K2" s="247"/>
      <c r="L2" s="247"/>
      <c r="M2" s="247"/>
      <c r="N2" s="247"/>
      <c r="O2" s="247"/>
      <c r="P2" s="247"/>
      <c r="Q2" s="247"/>
      <c r="R2" s="248"/>
    </row>
    <row r="3" spans="2:18" ht="36" customHeight="1">
      <c r="B3" s="249"/>
      <c r="C3" s="255" t="s">
        <v>819</v>
      </c>
      <c r="D3" s="255"/>
      <c r="E3" s="255"/>
      <c r="F3" s="255"/>
      <c r="G3" s="255"/>
      <c r="H3" s="255"/>
      <c r="I3" s="255"/>
      <c r="J3" s="255"/>
      <c r="K3" s="255"/>
      <c r="L3" s="255"/>
      <c r="M3" s="255"/>
      <c r="N3" s="255"/>
      <c r="O3" s="255"/>
      <c r="P3" s="255"/>
      <c r="Q3" s="255"/>
      <c r="R3" s="250"/>
    </row>
    <row r="4" spans="2:18" ht="12.75">
      <c r="B4" s="249"/>
      <c r="C4" s="14"/>
      <c r="D4" s="14"/>
      <c r="E4" s="14"/>
      <c r="F4" s="14"/>
      <c r="G4" s="14"/>
      <c r="H4" s="14"/>
      <c r="I4" s="14"/>
      <c r="J4" s="14"/>
      <c r="K4" s="14"/>
      <c r="L4" s="14"/>
      <c r="M4" s="14"/>
      <c r="N4" s="14"/>
      <c r="O4" s="14"/>
      <c r="P4" s="14"/>
      <c r="Q4" s="14"/>
      <c r="R4" s="251"/>
    </row>
    <row r="5" spans="2:18" ht="45" customHeight="1">
      <c r="B5" s="249"/>
      <c r="C5" s="255" t="s">
        <v>818</v>
      </c>
      <c r="D5" s="255"/>
      <c r="E5" s="255"/>
      <c r="F5" s="255"/>
      <c r="G5" s="255"/>
      <c r="H5" s="255"/>
      <c r="I5" s="255"/>
      <c r="J5" s="255"/>
      <c r="K5" s="255"/>
      <c r="L5" s="255"/>
      <c r="M5" s="255"/>
      <c r="N5" s="255"/>
      <c r="O5" s="255"/>
      <c r="P5" s="255"/>
      <c r="Q5" s="255"/>
      <c r="R5" s="251"/>
    </row>
    <row r="6" spans="2:18" ht="12.75">
      <c r="B6" s="249"/>
      <c r="C6" s="14"/>
      <c r="D6" s="14"/>
      <c r="E6" s="14"/>
      <c r="F6" s="14"/>
      <c r="G6" s="14"/>
      <c r="H6" s="14"/>
      <c r="I6" s="14"/>
      <c r="J6" s="14"/>
      <c r="K6" s="14"/>
      <c r="L6" s="14"/>
      <c r="M6" s="14"/>
      <c r="N6" s="14"/>
      <c r="O6" s="14"/>
      <c r="P6" s="14"/>
      <c r="Q6" s="14"/>
      <c r="R6" s="251"/>
    </row>
    <row r="7" spans="2:18" ht="33.75" customHeight="1">
      <c r="B7" s="249"/>
      <c r="C7" s="255" t="s">
        <v>821</v>
      </c>
      <c r="D7" s="255"/>
      <c r="E7" s="255"/>
      <c r="F7" s="255"/>
      <c r="G7" s="255"/>
      <c r="H7" s="255"/>
      <c r="I7" s="255"/>
      <c r="J7" s="255"/>
      <c r="K7" s="255"/>
      <c r="L7" s="255"/>
      <c r="M7" s="255"/>
      <c r="N7" s="255"/>
      <c r="O7" s="255"/>
      <c r="P7" s="255"/>
      <c r="Q7" s="255"/>
      <c r="R7" s="251"/>
    </row>
    <row r="8" spans="2:18" ht="12.75">
      <c r="B8" s="249"/>
      <c r="C8" s="14"/>
      <c r="D8" s="14"/>
      <c r="E8" s="14"/>
      <c r="F8" s="14"/>
      <c r="G8" s="14"/>
      <c r="H8" s="14"/>
      <c r="I8" s="14"/>
      <c r="J8" s="14"/>
      <c r="K8" s="14"/>
      <c r="L8" s="14"/>
      <c r="M8" s="14"/>
      <c r="N8" s="14"/>
      <c r="O8" s="14"/>
      <c r="P8" s="14"/>
      <c r="Q8" s="14"/>
      <c r="R8" s="251"/>
    </row>
    <row r="9" spans="2:18" ht="35.25" customHeight="1">
      <c r="B9" s="249"/>
      <c r="C9" s="255" t="s">
        <v>820</v>
      </c>
      <c r="D9" s="255"/>
      <c r="E9" s="255"/>
      <c r="F9" s="255"/>
      <c r="G9" s="255"/>
      <c r="H9" s="255"/>
      <c r="I9" s="255"/>
      <c r="J9" s="255"/>
      <c r="K9" s="255"/>
      <c r="L9" s="255"/>
      <c r="M9" s="255"/>
      <c r="N9" s="255"/>
      <c r="O9" s="255"/>
      <c r="P9" s="255"/>
      <c r="Q9" s="255"/>
      <c r="R9" s="251"/>
    </row>
    <row r="10" spans="2:18" ht="13.5" thickBot="1">
      <c r="B10" s="252"/>
      <c r="C10" s="253"/>
      <c r="D10" s="253"/>
      <c r="E10" s="253"/>
      <c r="F10" s="253"/>
      <c r="G10" s="253"/>
      <c r="H10" s="253"/>
      <c r="I10" s="253"/>
      <c r="J10" s="253"/>
      <c r="K10" s="253"/>
      <c r="L10" s="253"/>
      <c r="M10" s="253"/>
      <c r="N10" s="253"/>
      <c r="O10" s="253"/>
      <c r="P10" s="253"/>
      <c r="Q10" s="253"/>
      <c r="R10" s="254"/>
    </row>
  </sheetData>
  <mergeCells count="4">
    <mergeCell ref="C7:Q7"/>
    <mergeCell ref="C3:Q3"/>
    <mergeCell ref="C9:Q9"/>
    <mergeCell ref="C5:Q5"/>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indexed="31"/>
    <pageSetUpPr fitToPage="1"/>
  </sheetPr>
  <dimension ref="A1:CG218"/>
  <sheetViews>
    <sheetView zoomScale="75" zoomScaleNormal="75" zoomScaleSheetLayoutView="75" workbookViewId="0" topLeftCell="A1">
      <pane ySplit="2" topLeftCell="BM3" activePane="bottomLeft" state="frozen"/>
      <selection pane="topLeft" activeCell="A1" sqref="A1"/>
      <selection pane="bottomLeft" activeCell="S3" sqref="S1:S16384"/>
    </sheetView>
  </sheetViews>
  <sheetFormatPr defaultColWidth="9.140625" defaultRowHeight="12.75"/>
  <cols>
    <col min="1" max="1" width="50.8515625" style="11" customWidth="1"/>
    <col min="2" max="2" width="23.00390625" style="11" customWidth="1"/>
    <col min="3" max="3" width="15.140625" style="11" customWidth="1"/>
    <col min="4" max="4" width="10.28125" style="12" customWidth="1"/>
    <col min="5" max="5" width="9.57421875" style="12" customWidth="1"/>
    <col min="6" max="6" width="10.8515625" style="0" customWidth="1"/>
    <col min="7" max="7" width="11.00390625" style="0" customWidth="1"/>
    <col min="8" max="8" width="32.57421875" style="0" customWidth="1"/>
    <col min="9" max="9" width="11.57421875" style="0" customWidth="1"/>
    <col min="10" max="10" width="10.57421875" style="0" customWidth="1"/>
    <col min="11" max="13" width="10.28125" style="11" customWidth="1"/>
    <col min="14" max="14" width="11.140625" style="44" bestFit="1" customWidth="1"/>
    <col min="15" max="15" width="9.57421875" style="11" bestFit="1" customWidth="1"/>
    <col min="16" max="16" width="10.28125" style="11" bestFit="1" customWidth="1"/>
    <col min="17" max="17" width="11.140625" style="11" bestFit="1" customWidth="1"/>
    <col min="18" max="18" width="10.57421875" style="11" bestFit="1" customWidth="1"/>
    <col min="19" max="19" width="8.57421875" style="19" customWidth="1"/>
    <col min="20" max="20" width="9.421875" style="0" customWidth="1"/>
    <col min="21" max="16384" width="9.140625" style="11" customWidth="1"/>
  </cols>
  <sheetData>
    <row r="1" spans="1:21" s="1" customFormat="1" ht="21" customHeight="1">
      <c r="A1" s="267" t="s">
        <v>653</v>
      </c>
      <c r="B1" s="267"/>
      <c r="C1" s="267"/>
      <c r="D1" s="267"/>
      <c r="E1" s="267"/>
      <c r="F1" s="267"/>
      <c r="G1" s="267"/>
      <c r="H1" s="267"/>
      <c r="I1" s="267"/>
      <c r="J1" s="267"/>
      <c r="K1" s="267"/>
      <c r="L1" s="267"/>
      <c r="M1" s="267"/>
      <c r="N1" s="267"/>
      <c r="O1" s="267"/>
      <c r="P1" s="267"/>
      <c r="Q1" s="267"/>
      <c r="R1" s="267"/>
      <c r="S1" s="267"/>
      <c r="T1" s="267"/>
      <c r="U1" s="48"/>
    </row>
    <row r="2" spans="1:20" s="1" customFormat="1" ht="21" customHeight="1">
      <c r="A2" s="267" t="s">
        <v>674</v>
      </c>
      <c r="B2" s="267"/>
      <c r="C2" s="267"/>
      <c r="D2" s="267"/>
      <c r="E2" s="267"/>
      <c r="F2" s="267"/>
      <c r="G2" s="267"/>
      <c r="H2" s="267"/>
      <c r="I2" s="267"/>
      <c r="J2" s="267"/>
      <c r="K2" s="267"/>
      <c r="L2" s="267"/>
      <c r="M2" s="267"/>
      <c r="N2" s="267"/>
      <c r="O2" s="267"/>
      <c r="P2" s="267"/>
      <c r="Q2" s="267"/>
      <c r="R2" s="267"/>
      <c r="S2" s="267"/>
      <c r="T2" s="267"/>
    </row>
    <row r="3" spans="1:20" s="2" customFormat="1" ht="8.25" customHeight="1">
      <c r="A3" s="48"/>
      <c r="B3" s="1"/>
      <c r="C3" s="1"/>
      <c r="D3" s="47"/>
      <c r="E3" s="47"/>
      <c r="F3" s="1"/>
      <c r="G3" s="1"/>
      <c r="H3" s="1"/>
      <c r="I3" s="1"/>
      <c r="J3" s="1"/>
      <c r="K3" s="1"/>
      <c r="L3" s="1"/>
      <c r="M3" s="1"/>
      <c r="N3" s="161"/>
      <c r="O3" s="48"/>
      <c r="P3" s="48"/>
      <c r="Q3" s="48"/>
      <c r="R3" s="48"/>
      <c r="S3" s="48"/>
      <c r="T3" s="48"/>
    </row>
    <row r="4" spans="1:20" s="3" customFormat="1" ht="69.75" customHeight="1">
      <c r="A4" s="268" t="s">
        <v>497</v>
      </c>
      <c r="B4" s="268" t="s">
        <v>234</v>
      </c>
      <c r="C4" s="268" t="s">
        <v>498</v>
      </c>
      <c r="D4" s="256" t="s">
        <v>493</v>
      </c>
      <c r="E4" s="257"/>
      <c r="F4" s="256" t="s">
        <v>153</v>
      </c>
      <c r="G4" s="257"/>
      <c r="H4" s="271" t="s">
        <v>492</v>
      </c>
      <c r="I4" s="256" t="s">
        <v>494</v>
      </c>
      <c r="J4" s="257"/>
      <c r="K4" s="256" t="s">
        <v>800</v>
      </c>
      <c r="L4" s="257"/>
      <c r="M4" s="262" t="s">
        <v>178</v>
      </c>
      <c r="N4" s="263"/>
      <c r="O4" s="263"/>
      <c r="P4" s="264"/>
      <c r="Q4" s="265" t="s">
        <v>154</v>
      </c>
      <c r="R4" s="265" t="s">
        <v>155</v>
      </c>
      <c r="S4" s="256" t="s">
        <v>156</v>
      </c>
      <c r="T4" s="257"/>
    </row>
    <row r="5" spans="1:20" s="4" customFormat="1" ht="19.5" customHeight="1">
      <c r="A5" s="269"/>
      <c r="B5" s="269"/>
      <c r="C5" s="269"/>
      <c r="D5" s="258"/>
      <c r="E5" s="259"/>
      <c r="F5" s="258"/>
      <c r="G5" s="259"/>
      <c r="H5" s="272"/>
      <c r="I5" s="258"/>
      <c r="J5" s="259"/>
      <c r="K5" s="258"/>
      <c r="L5" s="259"/>
      <c r="M5" s="260" t="s">
        <v>495</v>
      </c>
      <c r="N5" s="261"/>
      <c r="O5" s="260" t="s">
        <v>496</v>
      </c>
      <c r="P5" s="261"/>
      <c r="Q5" s="266"/>
      <c r="R5" s="266"/>
      <c r="S5" s="258"/>
      <c r="T5" s="259"/>
    </row>
    <row r="6" spans="1:20" s="4" customFormat="1" ht="49.5" customHeight="1">
      <c r="A6" s="270"/>
      <c r="B6" s="270"/>
      <c r="C6" s="270"/>
      <c r="D6" s="60" t="s">
        <v>499</v>
      </c>
      <c r="E6" s="60" t="s">
        <v>500</v>
      </c>
      <c r="F6" s="60" t="s">
        <v>499</v>
      </c>
      <c r="G6" s="60" t="s">
        <v>500</v>
      </c>
      <c r="H6" s="60" t="s">
        <v>501</v>
      </c>
      <c r="I6" s="60" t="s">
        <v>502</v>
      </c>
      <c r="J6" s="60" t="s">
        <v>503</v>
      </c>
      <c r="K6" s="60" t="s">
        <v>801</v>
      </c>
      <c r="L6" s="60" t="s">
        <v>802</v>
      </c>
      <c r="M6" s="60" t="s">
        <v>504</v>
      </c>
      <c r="N6" s="60" t="s">
        <v>505</v>
      </c>
      <c r="O6" s="60" t="s">
        <v>506</v>
      </c>
      <c r="P6" s="60" t="s">
        <v>507</v>
      </c>
      <c r="Q6" s="60" t="s">
        <v>500</v>
      </c>
      <c r="R6" s="60" t="s">
        <v>508</v>
      </c>
      <c r="S6" s="60" t="s">
        <v>499</v>
      </c>
      <c r="T6" s="60" t="s">
        <v>500</v>
      </c>
    </row>
    <row r="7" spans="1:20" s="5" customFormat="1" ht="12.75">
      <c r="A7" s="61" t="s">
        <v>509</v>
      </c>
      <c r="B7" s="62">
        <v>89</v>
      </c>
      <c r="C7" s="63" t="s">
        <v>510</v>
      </c>
      <c r="D7" s="64" t="s">
        <v>511</v>
      </c>
      <c r="E7" s="64" t="s">
        <v>511</v>
      </c>
      <c r="F7" s="65" t="s">
        <v>511</v>
      </c>
      <c r="G7" s="65" t="s">
        <v>511</v>
      </c>
      <c r="H7" s="162" t="s">
        <v>511</v>
      </c>
      <c r="I7" s="65" t="s">
        <v>511</v>
      </c>
      <c r="J7" s="65" t="s">
        <v>511</v>
      </c>
      <c r="K7" s="66">
        <v>800</v>
      </c>
      <c r="L7" s="67">
        <v>89</v>
      </c>
      <c r="M7" s="66">
        <v>200</v>
      </c>
      <c r="N7" s="66">
        <v>11</v>
      </c>
      <c r="O7" s="66">
        <v>5280</v>
      </c>
      <c r="P7" s="66">
        <v>528</v>
      </c>
      <c r="Q7" s="65" t="s">
        <v>511</v>
      </c>
      <c r="R7" s="65" t="s">
        <v>511</v>
      </c>
      <c r="S7" s="68" t="s">
        <v>511</v>
      </c>
      <c r="T7" s="68" t="s">
        <v>511</v>
      </c>
    </row>
    <row r="8" spans="1:20" s="5" customFormat="1" ht="12.75">
      <c r="A8" s="69" t="s">
        <v>512</v>
      </c>
      <c r="B8" s="70">
        <v>380</v>
      </c>
      <c r="C8" s="71" t="s">
        <v>510</v>
      </c>
      <c r="D8" s="72" t="s">
        <v>511</v>
      </c>
      <c r="E8" s="72" t="s">
        <v>511</v>
      </c>
      <c r="F8" s="73" t="s">
        <v>511</v>
      </c>
      <c r="G8" s="73" t="s">
        <v>511</v>
      </c>
      <c r="H8" s="73" t="s">
        <v>511</v>
      </c>
      <c r="I8" s="73" t="s">
        <v>511</v>
      </c>
      <c r="J8" s="73" t="s">
        <v>511</v>
      </c>
      <c r="K8" s="74">
        <v>910</v>
      </c>
      <c r="L8" s="75">
        <v>380</v>
      </c>
      <c r="M8" s="74">
        <v>2100</v>
      </c>
      <c r="N8" s="74">
        <v>610</v>
      </c>
      <c r="O8" s="74">
        <v>932</v>
      </c>
      <c r="P8" s="74">
        <v>240</v>
      </c>
      <c r="Q8" s="76" t="s">
        <v>511</v>
      </c>
      <c r="R8" s="76" t="s">
        <v>511</v>
      </c>
      <c r="S8" s="77" t="s">
        <v>511</v>
      </c>
      <c r="T8" s="77" t="s">
        <v>511</v>
      </c>
    </row>
    <row r="9" spans="1:20" s="5" customFormat="1" ht="12.75">
      <c r="A9" s="69" t="s">
        <v>513</v>
      </c>
      <c r="B9" s="70">
        <v>32</v>
      </c>
      <c r="C9" s="71" t="s">
        <v>510</v>
      </c>
      <c r="D9" s="72" t="s">
        <v>511</v>
      </c>
      <c r="E9" s="72" t="s">
        <v>511</v>
      </c>
      <c r="F9" s="73" t="s">
        <v>511</v>
      </c>
      <c r="G9" s="73" t="s">
        <v>511</v>
      </c>
      <c r="H9" s="73" t="s">
        <v>511</v>
      </c>
      <c r="I9" s="73" t="s">
        <v>511</v>
      </c>
      <c r="J9" s="73" t="s">
        <v>511</v>
      </c>
      <c r="K9" s="74">
        <v>280</v>
      </c>
      <c r="L9" s="75">
        <v>32</v>
      </c>
      <c r="M9" s="78" t="s">
        <v>511</v>
      </c>
      <c r="N9" s="78" t="s">
        <v>511</v>
      </c>
      <c r="O9" s="78" t="s">
        <v>511</v>
      </c>
      <c r="P9" s="78" t="s">
        <v>511</v>
      </c>
      <c r="Q9" s="76" t="s">
        <v>511</v>
      </c>
      <c r="R9" s="76" t="s">
        <v>511</v>
      </c>
      <c r="S9" s="79" t="s">
        <v>511</v>
      </c>
      <c r="T9" s="79" t="s">
        <v>511</v>
      </c>
    </row>
    <row r="10" spans="1:20" s="5" customFormat="1" ht="12.75">
      <c r="A10" s="69" t="s">
        <v>514</v>
      </c>
      <c r="B10" s="70">
        <v>500</v>
      </c>
      <c r="C10" s="71" t="s">
        <v>510</v>
      </c>
      <c r="D10" s="80" t="s">
        <v>511</v>
      </c>
      <c r="E10" s="80" t="s">
        <v>511</v>
      </c>
      <c r="F10" s="73" t="s">
        <v>511</v>
      </c>
      <c r="G10" s="73" t="s">
        <v>511</v>
      </c>
      <c r="H10" s="81" t="s">
        <v>511</v>
      </c>
      <c r="I10" s="73" t="s">
        <v>511</v>
      </c>
      <c r="J10" s="73" t="s">
        <v>511</v>
      </c>
      <c r="K10" s="74">
        <v>2800</v>
      </c>
      <c r="L10" s="75">
        <v>500</v>
      </c>
      <c r="M10" s="74">
        <v>5200</v>
      </c>
      <c r="N10" s="74">
        <v>1200</v>
      </c>
      <c r="O10" s="74">
        <v>3600</v>
      </c>
      <c r="P10" s="74">
        <v>940</v>
      </c>
      <c r="Q10" s="73" t="s">
        <v>511</v>
      </c>
      <c r="R10" s="73" t="s">
        <v>511</v>
      </c>
      <c r="S10" s="77" t="s">
        <v>511</v>
      </c>
      <c r="T10" s="77" t="s">
        <v>511</v>
      </c>
    </row>
    <row r="11" spans="1:20" s="5" customFormat="1" ht="12.75">
      <c r="A11" s="69" t="s">
        <v>515</v>
      </c>
      <c r="B11" s="70">
        <v>740</v>
      </c>
      <c r="C11" s="71" t="s">
        <v>510</v>
      </c>
      <c r="D11" s="72" t="s">
        <v>511</v>
      </c>
      <c r="E11" s="72" t="s">
        <v>511</v>
      </c>
      <c r="F11" s="73" t="s">
        <v>511</v>
      </c>
      <c r="G11" s="73" t="s">
        <v>511</v>
      </c>
      <c r="H11" s="73" t="s">
        <v>511</v>
      </c>
      <c r="I11" s="73" t="s">
        <v>511</v>
      </c>
      <c r="J11" s="73" t="s">
        <v>511</v>
      </c>
      <c r="K11" s="74">
        <v>6600</v>
      </c>
      <c r="L11" s="75">
        <v>740</v>
      </c>
      <c r="M11" s="74">
        <v>830</v>
      </c>
      <c r="N11" s="74">
        <v>47</v>
      </c>
      <c r="O11" s="78" t="s">
        <v>511</v>
      </c>
      <c r="P11" s="78" t="s">
        <v>511</v>
      </c>
      <c r="Q11" s="73" t="s">
        <v>511</v>
      </c>
      <c r="R11" s="73" t="s">
        <v>511</v>
      </c>
      <c r="S11" s="77" t="s">
        <v>511</v>
      </c>
      <c r="T11" s="77" t="s">
        <v>511</v>
      </c>
    </row>
    <row r="12" spans="1:20" s="5" customFormat="1" ht="12.75">
      <c r="A12" s="69" t="s">
        <v>711</v>
      </c>
      <c r="B12" s="70">
        <v>130</v>
      </c>
      <c r="C12" s="71" t="s">
        <v>510</v>
      </c>
      <c r="D12" s="72" t="s">
        <v>511</v>
      </c>
      <c r="E12" s="72" t="s">
        <v>511</v>
      </c>
      <c r="F12" s="73" t="s">
        <v>511</v>
      </c>
      <c r="G12" s="73" t="s">
        <v>511</v>
      </c>
      <c r="H12" s="73" t="s">
        <v>511</v>
      </c>
      <c r="I12" s="73" t="s">
        <v>511</v>
      </c>
      <c r="J12" s="73" t="s">
        <v>511</v>
      </c>
      <c r="K12" s="74">
        <v>1200</v>
      </c>
      <c r="L12" s="75">
        <v>130</v>
      </c>
      <c r="M12" s="74">
        <v>450</v>
      </c>
      <c r="N12" s="74">
        <v>25</v>
      </c>
      <c r="O12" s="74">
        <v>3030</v>
      </c>
      <c r="P12" s="74">
        <v>303</v>
      </c>
      <c r="Q12" s="73" t="s">
        <v>511</v>
      </c>
      <c r="R12" s="73" t="s">
        <v>511</v>
      </c>
      <c r="S12" s="77" t="s">
        <v>511</v>
      </c>
      <c r="T12" s="77" t="s">
        <v>511</v>
      </c>
    </row>
    <row r="13" spans="1:20" s="5" customFormat="1" ht="12.75">
      <c r="A13" s="69" t="s">
        <v>516</v>
      </c>
      <c r="B13" s="70">
        <v>8</v>
      </c>
      <c r="C13" s="71" t="s">
        <v>510</v>
      </c>
      <c r="D13" s="72" t="s">
        <v>511</v>
      </c>
      <c r="E13" s="72" t="s">
        <v>511</v>
      </c>
      <c r="F13" s="73" t="s">
        <v>511</v>
      </c>
      <c r="G13" s="73" t="s">
        <v>511</v>
      </c>
      <c r="H13" s="73" t="s">
        <v>511</v>
      </c>
      <c r="I13" s="73" t="s">
        <v>511</v>
      </c>
      <c r="J13" s="73" t="s">
        <v>511</v>
      </c>
      <c r="K13" s="78" t="s">
        <v>511</v>
      </c>
      <c r="L13" s="82" t="s">
        <v>511</v>
      </c>
      <c r="M13" s="78" t="s">
        <v>511</v>
      </c>
      <c r="N13" s="78" t="s">
        <v>511</v>
      </c>
      <c r="O13" s="78" t="s">
        <v>511</v>
      </c>
      <c r="P13" s="78" t="s">
        <v>511</v>
      </c>
      <c r="Q13" s="83">
        <v>8</v>
      </c>
      <c r="R13" s="79" t="s">
        <v>511</v>
      </c>
      <c r="S13" s="77" t="s">
        <v>511</v>
      </c>
      <c r="T13" s="77" t="s">
        <v>511</v>
      </c>
    </row>
    <row r="14" spans="1:20" s="5" customFormat="1" ht="12.75">
      <c r="A14" s="69" t="s">
        <v>517</v>
      </c>
      <c r="B14" s="70">
        <v>30</v>
      </c>
      <c r="C14" s="71" t="s">
        <v>510</v>
      </c>
      <c r="D14" s="80" t="s">
        <v>511</v>
      </c>
      <c r="E14" s="80" t="s">
        <v>511</v>
      </c>
      <c r="F14" s="73" t="s">
        <v>511</v>
      </c>
      <c r="G14" s="73" t="s">
        <v>511</v>
      </c>
      <c r="H14" s="81" t="s">
        <v>511</v>
      </c>
      <c r="I14" s="73" t="s">
        <v>511</v>
      </c>
      <c r="J14" s="73" t="s">
        <v>511</v>
      </c>
      <c r="K14" s="74">
        <v>100</v>
      </c>
      <c r="L14" s="75">
        <v>30</v>
      </c>
      <c r="M14" s="74">
        <v>700</v>
      </c>
      <c r="N14" s="74">
        <v>110</v>
      </c>
      <c r="O14" s="74">
        <v>150</v>
      </c>
      <c r="P14" s="84">
        <v>44.9</v>
      </c>
      <c r="Q14" s="85">
        <v>24</v>
      </c>
      <c r="R14" s="73" t="s">
        <v>511</v>
      </c>
      <c r="S14" s="77" t="s">
        <v>511</v>
      </c>
      <c r="T14" s="77" t="s">
        <v>511</v>
      </c>
    </row>
    <row r="15" spans="1:20" s="5" customFormat="1" ht="12.75">
      <c r="A15" s="69" t="s">
        <v>518</v>
      </c>
      <c r="B15" s="70">
        <v>17</v>
      </c>
      <c r="C15" s="71" t="s">
        <v>510</v>
      </c>
      <c r="D15" s="72" t="s">
        <v>511</v>
      </c>
      <c r="E15" s="72" t="s">
        <v>511</v>
      </c>
      <c r="F15" s="73" t="s">
        <v>511</v>
      </c>
      <c r="G15" s="73" t="s">
        <v>511</v>
      </c>
      <c r="H15" s="73" t="s">
        <v>511</v>
      </c>
      <c r="I15" s="73" t="s">
        <v>511</v>
      </c>
      <c r="J15" s="73" t="s">
        <v>511</v>
      </c>
      <c r="K15" s="74">
        <v>150</v>
      </c>
      <c r="L15" s="75">
        <v>17</v>
      </c>
      <c r="M15" s="78" t="s">
        <v>511</v>
      </c>
      <c r="N15" s="78" t="s">
        <v>511</v>
      </c>
      <c r="O15" s="78" t="s">
        <v>511</v>
      </c>
      <c r="P15" s="78" t="s">
        <v>511</v>
      </c>
      <c r="Q15" s="73" t="s">
        <v>511</v>
      </c>
      <c r="R15" s="73" t="s">
        <v>511</v>
      </c>
      <c r="S15" s="77" t="s">
        <v>511</v>
      </c>
      <c r="T15" s="77" t="s">
        <v>511</v>
      </c>
    </row>
    <row r="16" spans="1:20" s="5" customFormat="1" ht="12.75">
      <c r="A16" s="69" t="s">
        <v>186</v>
      </c>
      <c r="B16" s="70">
        <v>0.006</v>
      </c>
      <c r="C16" s="71" t="s">
        <v>510</v>
      </c>
      <c r="D16" s="72" t="s">
        <v>511</v>
      </c>
      <c r="E16" s="72" t="s">
        <v>511</v>
      </c>
      <c r="F16" s="73" t="s">
        <v>511</v>
      </c>
      <c r="G16" s="73" t="s">
        <v>511</v>
      </c>
      <c r="H16" s="73" t="s">
        <v>511</v>
      </c>
      <c r="I16" s="73" t="s">
        <v>511</v>
      </c>
      <c r="J16" s="73" t="s">
        <v>511</v>
      </c>
      <c r="K16" s="73" t="s">
        <v>511</v>
      </c>
      <c r="L16" s="86">
        <v>0.006</v>
      </c>
      <c r="M16" s="77" t="s">
        <v>511</v>
      </c>
      <c r="N16" s="77" t="s">
        <v>511</v>
      </c>
      <c r="O16" s="77" t="s">
        <v>511</v>
      </c>
      <c r="P16" s="77" t="s">
        <v>511</v>
      </c>
      <c r="Q16" s="77" t="s">
        <v>511</v>
      </c>
      <c r="R16" s="73" t="s">
        <v>511</v>
      </c>
      <c r="S16" s="77" t="s">
        <v>511</v>
      </c>
      <c r="T16" s="77" t="s">
        <v>511</v>
      </c>
    </row>
    <row r="17" spans="1:20" s="5" customFormat="1" ht="12.75">
      <c r="A17" s="69" t="s">
        <v>519</v>
      </c>
      <c r="B17" s="70">
        <v>13</v>
      </c>
      <c r="C17" s="71" t="s">
        <v>510</v>
      </c>
      <c r="D17" s="72" t="s">
        <v>511</v>
      </c>
      <c r="E17" s="72" t="s">
        <v>511</v>
      </c>
      <c r="F17" s="73" t="s">
        <v>511</v>
      </c>
      <c r="G17" s="73" t="s">
        <v>511</v>
      </c>
      <c r="H17" s="73" t="s">
        <v>511</v>
      </c>
      <c r="I17" s="73" t="s">
        <v>511</v>
      </c>
      <c r="J17" s="73" t="s">
        <v>511</v>
      </c>
      <c r="K17" s="74">
        <v>120</v>
      </c>
      <c r="L17" s="75">
        <v>13</v>
      </c>
      <c r="M17" s="74">
        <v>260</v>
      </c>
      <c r="N17" s="74">
        <v>14</v>
      </c>
      <c r="O17" s="74">
        <v>158</v>
      </c>
      <c r="P17" s="84">
        <v>15.8</v>
      </c>
      <c r="Q17" s="87">
        <v>0.7</v>
      </c>
      <c r="R17" s="73" t="s">
        <v>511</v>
      </c>
      <c r="S17" s="77" t="s">
        <v>511</v>
      </c>
      <c r="T17" s="77" t="s">
        <v>511</v>
      </c>
    </row>
    <row r="18" spans="1:20" s="5" customFormat="1" ht="12.75">
      <c r="A18" s="69" t="s">
        <v>520</v>
      </c>
      <c r="B18" s="75">
        <v>2000</v>
      </c>
      <c r="C18" s="71" t="s">
        <v>510</v>
      </c>
      <c r="D18" s="72" t="s">
        <v>511</v>
      </c>
      <c r="E18" s="72" t="s">
        <v>511</v>
      </c>
      <c r="F18" s="73" t="s">
        <v>511</v>
      </c>
      <c r="G18" s="73" t="s">
        <v>511</v>
      </c>
      <c r="H18" s="73" t="s">
        <v>511</v>
      </c>
      <c r="I18" s="73" t="s">
        <v>511</v>
      </c>
      <c r="J18" s="73" t="s">
        <v>511</v>
      </c>
      <c r="K18" s="74">
        <v>8200</v>
      </c>
      <c r="L18" s="75">
        <v>2000</v>
      </c>
      <c r="M18" s="74">
        <v>8800</v>
      </c>
      <c r="N18" s="74">
        <v>910</v>
      </c>
      <c r="O18" s="74">
        <v>11800</v>
      </c>
      <c r="P18" s="74">
        <v>2000</v>
      </c>
      <c r="Q18" s="85">
        <v>100</v>
      </c>
      <c r="R18" s="73" t="s">
        <v>511</v>
      </c>
      <c r="S18" s="77" t="s">
        <v>511</v>
      </c>
      <c r="T18" s="77" t="s">
        <v>511</v>
      </c>
    </row>
    <row r="19" spans="1:85" s="20" customFormat="1" ht="12.75">
      <c r="A19" s="69" t="s">
        <v>179</v>
      </c>
      <c r="B19" s="75">
        <v>1100</v>
      </c>
      <c r="C19" s="71" t="s">
        <v>510</v>
      </c>
      <c r="D19" s="72" t="s">
        <v>511</v>
      </c>
      <c r="E19" s="72" t="s">
        <v>511</v>
      </c>
      <c r="F19" s="73" t="s">
        <v>511</v>
      </c>
      <c r="G19" s="73" t="s">
        <v>511</v>
      </c>
      <c r="H19" s="73" t="s">
        <v>511</v>
      </c>
      <c r="I19" s="73" t="s">
        <v>511</v>
      </c>
      <c r="J19" s="73" t="s">
        <v>511</v>
      </c>
      <c r="K19" s="74">
        <v>9600</v>
      </c>
      <c r="L19" s="75">
        <v>1100</v>
      </c>
      <c r="M19" s="77" t="s">
        <v>511</v>
      </c>
      <c r="N19" s="77" t="s">
        <v>511</v>
      </c>
      <c r="O19" s="77" t="s">
        <v>511</v>
      </c>
      <c r="P19" s="77" t="s">
        <v>511</v>
      </c>
      <c r="Q19" s="77" t="s">
        <v>511</v>
      </c>
      <c r="R19" s="73" t="s">
        <v>511</v>
      </c>
      <c r="S19" s="77" t="s">
        <v>511</v>
      </c>
      <c r="T19" s="77" t="s">
        <v>511</v>
      </c>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row>
    <row r="20" spans="1:20" s="5" customFormat="1" ht="12.75">
      <c r="A20" s="69" t="s">
        <v>521</v>
      </c>
      <c r="B20" s="70">
        <v>230</v>
      </c>
      <c r="C20" s="71" t="s">
        <v>510</v>
      </c>
      <c r="D20" s="72" t="s">
        <v>511</v>
      </c>
      <c r="E20" s="72" t="s">
        <v>511</v>
      </c>
      <c r="F20" s="73" t="s">
        <v>511</v>
      </c>
      <c r="G20" s="73" t="s">
        <v>511</v>
      </c>
      <c r="H20" s="73" t="s">
        <v>511</v>
      </c>
      <c r="I20" s="73" t="s">
        <v>511</v>
      </c>
      <c r="J20" s="73" t="s">
        <v>511</v>
      </c>
      <c r="K20" s="74">
        <v>2000</v>
      </c>
      <c r="L20" s="75">
        <v>230</v>
      </c>
      <c r="M20" s="78" t="s">
        <v>511</v>
      </c>
      <c r="N20" s="78" t="s">
        <v>511</v>
      </c>
      <c r="O20" s="74">
        <v>5250</v>
      </c>
      <c r="P20" s="74">
        <v>525</v>
      </c>
      <c r="Q20" s="73" t="s">
        <v>511</v>
      </c>
      <c r="R20" s="73" t="s">
        <v>511</v>
      </c>
      <c r="S20" s="77" t="s">
        <v>511</v>
      </c>
      <c r="T20" s="77" t="s">
        <v>511</v>
      </c>
    </row>
    <row r="21" spans="1:20" s="5" customFormat="1" ht="12.75">
      <c r="A21" s="69" t="s">
        <v>522</v>
      </c>
      <c r="B21" s="70">
        <v>2.7</v>
      </c>
      <c r="C21" s="71" t="s">
        <v>510</v>
      </c>
      <c r="D21" s="72" t="s">
        <v>511</v>
      </c>
      <c r="E21" s="72" t="s">
        <v>511</v>
      </c>
      <c r="F21" s="73" t="s">
        <v>511</v>
      </c>
      <c r="G21" s="73" t="s">
        <v>511</v>
      </c>
      <c r="H21" s="73" t="s">
        <v>511</v>
      </c>
      <c r="I21" s="73" t="s">
        <v>511</v>
      </c>
      <c r="J21" s="73" t="s">
        <v>511</v>
      </c>
      <c r="K21" s="78" t="s">
        <v>511</v>
      </c>
      <c r="L21" s="82" t="s">
        <v>511</v>
      </c>
      <c r="M21" s="73" t="s">
        <v>511</v>
      </c>
      <c r="N21" s="73" t="s">
        <v>511</v>
      </c>
      <c r="O21" s="85">
        <v>27</v>
      </c>
      <c r="P21" s="70">
        <v>2.7</v>
      </c>
      <c r="Q21" s="73" t="s">
        <v>511</v>
      </c>
      <c r="R21" s="73" t="s">
        <v>511</v>
      </c>
      <c r="S21" s="77" t="s">
        <v>511</v>
      </c>
      <c r="T21" s="77" t="s">
        <v>511</v>
      </c>
    </row>
    <row r="22" spans="1:20" s="5" customFormat="1" ht="12.75">
      <c r="A22" s="69" t="s">
        <v>523</v>
      </c>
      <c r="B22" s="70">
        <v>45</v>
      </c>
      <c r="C22" s="71" t="s">
        <v>510</v>
      </c>
      <c r="D22" s="72" t="s">
        <v>511</v>
      </c>
      <c r="E22" s="72" t="s">
        <v>511</v>
      </c>
      <c r="F22" s="73" t="s">
        <v>511</v>
      </c>
      <c r="G22" s="73" t="s">
        <v>511</v>
      </c>
      <c r="H22" s="73" t="s">
        <v>511</v>
      </c>
      <c r="I22" s="73" t="s">
        <v>511</v>
      </c>
      <c r="J22" s="73" t="s">
        <v>511</v>
      </c>
      <c r="K22" s="74">
        <v>410</v>
      </c>
      <c r="L22" s="75">
        <v>45</v>
      </c>
      <c r="M22" s="88" t="s">
        <v>511</v>
      </c>
      <c r="N22" s="73" t="s">
        <v>511</v>
      </c>
      <c r="O22" s="73" t="s">
        <v>511</v>
      </c>
      <c r="P22" s="73" t="s">
        <v>511</v>
      </c>
      <c r="Q22" s="73" t="s">
        <v>511</v>
      </c>
      <c r="R22" s="73" t="s">
        <v>511</v>
      </c>
      <c r="S22" s="77" t="s">
        <v>511</v>
      </c>
      <c r="T22" s="77" t="s">
        <v>511</v>
      </c>
    </row>
    <row r="23" spans="1:20" s="5" customFormat="1" ht="12.75">
      <c r="A23" s="69" t="s">
        <v>524</v>
      </c>
      <c r="B23" s="77">
        <v>28</v>
      </c>
      <c r="C23" s="71" t="s">
        <v>510</v>
      </c>
      <c r="D23" s="80" t="s">
        <v>511</v>
      </c>
      <c r="E23" s="80" t="s">
        <v>511</v>
      </c>
      <c r="F23" s="89" t="s">
        <v>511</v>
      </c>
      <c r="G23" s="89" t="s">
        <v>511</v>
      </c>
      <c r="H23" s="81" t="s">
        <v>511</v>
      </c>
      <c r="I23" s="89" t="s">
        <v>511</v>
      </c>
      <c r="J23" s="89" t="s">
        <v>511</v>
      </c>
      <c r="K23" s="78">
        <v>100</v>
      </c>
      <c r="L23" s="82">
        <v>28</v>
      </c>
      <c r="M23" s="85">
        <v>630</v>
      </c>
      <c r="N23" s="85">
        <v>71</v>
      </c>
      <c r="O23" s="85">
        <v>502</v>
      </c>
      <c r="P23" s="85">
        <v>50.2</v>
      </c>
      <c r="Q23" s="73">
        <v>150</v>
      </c>
      <c r="R23" s="73" t="s">
        <v>511</v>
      </c>
      <c r="S23" s="77" t="s">
        <v>511</v>
      </c>
      <c r="T23" s="77" t="s">
        <v>511</v>
      </c>
    </row>
    <row r="24" spans="1:20" s="5" customFormat="1" ht="12.75">
      <c r="A24" s="69" t="s">
        <v>525</v>
      </c>
      <c r="B24" s="70">
        <v>0.055</v>
      </c>
      <c r="C24" s="71" t="s">
        <v>510</v>
      </c>
      <c r="D24" s="80" t="s">
        <v>511</v>
      </c>
      <c r="E24" s="80" t="s">
        <v>511</v>
      </c>
      <c r="F24" s="73" t="s">
        <v>511</v>
      </c>
      <c r="G24" s="73" t="s">
        <v>511</v>
      </c>
      <c r="H24" s="81" t="s">
        <v>511</v>
      </c>
      <c r="I24" s="73" t="s">
        <v>511</v>
      </c>
      <c r="J24" s="73" t="s">
        <v>511</v>
      </c>
      <c r="K24" s="78" t="s">
        <v>511</v>
      </c>
      <c r="L24" s="82" t="s">
        <v>511</v>
      </c>
      <c r="M24" s="85">
        <v>0.99</v>
      </c>
      <c r="N24" s="70">
        <v>0.055</v>
      </c>
      <c r="O24" s="73" t="s">
        <v>511</v>
      </c>
      <c r="P24" s="73" t="s">
        <v>511</v>
      </c>
      <c r="Q24" s="73" t="s">
        <v>511</v>
      </c>
      <c r="R24" s="73" t="s">
        <v>511</v>
      </c>
      <c r="S24" s="77" t="s">
        <v>511</v>
      </c>
      <c r="T24" s="77" t="s">
        <v>511</v>
      </c>
    </row>
    <row r="25" spans="1:20" s="5" customFormat="1" ht="12.75">
      <c r="A25" s="69" t="s">
        <v>526</v>
      </c>
      <c r="B25" s="90">
        <v>16</v>
      </c>
      <c r="C25" s="71" t="s">
        <v>510</v>
      </c>
      <c r="D25" s="80" t="s">
        <v>511</v>
      </c>
      <c r="E25" s="80" t="s">
        <v>511</v>
      </c>
      <c r="F25" s="89" t="s">
        <v>511</v>
      </c>
      <c r="G25" s="89" t="s">
        <v>511</v>
      </c>
      <c r="H25" s="81" t="s">
        <v>511</v>
      </c>
      <c r="I25" s="89" t="s">
        <v>511</v>
      </c>
      <c r="J25" s="89" t="s">
        <v>511</v>
      </c>
      <c r="K25" s="74">
        <v>100</v>
      </c>
      <c r="L25" s="75">
        <v>16</v>
      </c>
      <c r="M25" s="85">
        <v>180</v>
      </c>
      <c r="N25" s="85">
        <v>15</v>
      </c>
      <c r="O25" s="85">
        <v>112</v>
      </c>
      <c r="P25" s="85">
        <v>11.2</v>
      </c>
      <c r="Q25" s="91">
        <v>26</v>
      </c>
      <c r="R25" s="89" t="s">
        <v>511</v>
      </c>
      <c r="S25" s="77" t="s">
        <v>511</v>
      </c>
      <c r="T25" s="77" t="s">
        <v>511</v>
      </c>
    </row>
    <row r="26" spans="1:20" s="5" customFormat="1" ht="12.75">
      <c r="A26" s="69" t="s">
        <v>527</v>
      </c>
      <c r="B26" s="70">
        <v>5</v>
      </c>
      <c r="C26" s="71" t="s">
        <v>510</v>
      </c>
      <c r="D26" s="80" t="s">
        <v>511</v>
      </c>
      <c r="E26" s="80" t="s">
        <v>511</v>
      </c>
      <c r="F26" s="73" t="s">
        <v>511</v>
      </c>
      <c r="G26" s="73" t="s">
        <v>511</v>
      </c>
      <c r="H26" s="81" t="s">
        <v>511</v>
      </c>
      <c r="I26" s="73" t="s">
        <v>511</v>
      </c>
      <c r="J26" s="73" t="s">
        <v>511</v>
      </c>
      <c r="K26" s="74">
        <v>39</v>
      </c>
      <c r="L26" s="75">
        <v>5</v>
      </c>
      <c r="M26" s="73" t="s">
        <v>511</v>
      </c>
      <c r="N26" s="73" t="s">
        <v>511</v>
      </c>
      <c r="O26" s="85">
        <v>32</v>
      </c>
      <c r="P26" s="73" t="s">
        <v>511</v>
      </c>
      <c r="Q26" s="73" t="s">
        <v>511</v>
      </c>
      <c r="R26" s="73" t="s">
        <v>511</v>
      </c>
      <c r="S26" s="77" t="s">
        <v>511</v>
      </c>
      <c r="T26" s="77" t="s">
        <v>511</v>
      </c>
    </row>
    <row r="27" spans="1:20" s="5" customFormat="1" ht="12.75">
      <c r="A27" s="69" t="s">
        <v>528</v>
      </c>
      <c r="B27" s="70">
        <v>220</v>
      </c>
      <c r="C27" s="71" t="s">
        <v>510</v>
      </c>
      <c r="D27" s="72" t="s">
        <v>511</v>
      </c>
      <c r="E27" s="72" t="s">
        <v>511</v>
      </c>
      <c r="F27" s="89" t="s">
        <v>511</v>
      </c>
      <c r="G27" s="89" t="s">
        <v>511</v>
      </c>
      <c r="H27" s="73" t="s">
        <v>511</v>
      </c>
      <c r="I27" s="89" t="s">
        <v>511</v>
      </c>
      <c r="J27" s="89" t="s">
        <v>511</v>
      </c>
      <c r="K27" s="74">
        <v>1400</v>
      </c>
      <c r="L27" s="75">
        <v>220</v>
      </c>
      <c r="M27" s="73" t="s">
        <v>511</v>
      </c>
      <c r="N27" s="73" t="s">
        <v>511</v>
      </c>
      <c r="O27" s="73" t="s">
        <v>511</v>
      </c>
      <c r="P27" s="73" t="s">
        <v>511</v>
      </c>
      <c r="Q27" s="89" t="s">
        <v>511</v>
      </c>
      <c r="R27" s="89" t="s">
        <v>511</v>
      </c>
      <c r="S27" s="77" t="s">
        <v>511</v>
      </c>
      <c r="T27" s="77" t="s">
        <v>511</v>
      </c>
    </row>
    <row r="28" spans="1:20" s="5" customFormat="1" ht="12.75">
      <c r="A28" s="69" t="s">
        <v>529</v>
      </c>
      <c r="B28" s="70">
        <v>19</v>
      </c>
      <c r="C28" s="71" t="s">
        <v>510</v>
      </c>
      <c r="D28" s="72" t="s">
        <v>511</v>
      </c>
      <c r="E28" s="72" t="s">
        <v>511</v>
      </c>
      <c r="F28" s="89" t="s">
        <v>511</v>
      </c>
      <c r="G28" s="89" t="s">
        <v>511</v>
      </c>
      <c r="H28" s="73" t="s">
        <v>511</v>
      </c>
      <c r="I28" s="89" t="s">
        <v>511</v>
      </c>
      <c r="J28" s="89" t="s">
        <v>511</v>
      </c>
      <c r="K28" s="74">
        <v>160</v>
      </c>
      <c r="L28" s="75">
        <v>19</v>
      </c>
      <c r="M28" s="73" t="s">
        <v>511</v>
      </c>
      <c r="N28" s="73" t="s">
        <v>511</v>
      </c>
      <c r="O28" s="85">
        <v>202</v>
      </c>
      <c r="P28" s="85">
        <v>36.5</v>
      </c>
      <c r="Q28" s="89" t="s">
        <v>511</v>
      </c>
      <c r="R28" s="89" t="s">
        <v>511</v>
      </c>
      <c r="S28" s="77" t="s">
        <v>511</v>
      </c>
      <c r="T28" s="77" t="s">
        <v>511</v>
      </c>
    </row>
    <row r="29" spans="1:20" s="5" customFormat="1" ht="12.75">
      <c r="A29" s="69" t="s">
        <v>530</v>
      </c>
      <c r="B29" s="70">
        <v>380</v>
      </c>
      <c r="C29" s="71" t="s">
        <v>510</v>
      </c>
      <c r="D29" s="72" t="s">
        <v>511</v>
      </c>
      <c r="E29" s="72" t="s">
        <v>511</v>
      </c>
      <c r="F29" s="89" t="s">
        <v>511</v>
      </c>
      <c r="G29" s="89" t="s">
        <v>511</v>
      </c>
      <c r="H29" s="73" t="s">
        <v>511</v>
      </c>
      <c r="I29" s="89" t="s">
        <v>511</v>
      </c>
      <c r="J29" s="89" t="s">
        <v>511</v>
      </c>
      <c r="K29" s="74">
        <v>1300</v>
      </c>
      <c r="L29" s="75">
        <v>380</v>
      </c>
      <c r="M29" s="73" t="s">
        <v>511</v>
      </c>
      <c r="N29" s="73" t="s">
        <v>511</v>
      </c>
      <c r="O29" s="85">
        <v>212</v>
      </c>
      <c r="P29" s="85">
        <v>21.2</v>
      </c>
      <c r="Q29" s="89" t="s">
        <v>511</v>
      </c>
      <c r="R29" s="89" t="s">
        <v>511</v>
      </c>
      <c r="S29" s="77" t="s">
        <v>511</v>
      </c>
      <c r="T29" s="77" t="s">
        <v>511</v>
      </c>
    </row>
    <row r="30" spans="1:20" s="5" customFormat="1" ht="12.75">
      <c r="A30" s="69" t="s">
        <v>531</v>
      </c>
      <c r="B30" s="70">
        <v>19</v>
      </c>
      <c r="C30" s="71" t="s">
        <v>510</v>
      </c>
      <c r="D30" s="72" t="s">
        <v>511</v>
      </c>
      <c r="E30" s="72" t="s">
        <v>511</v>
      </c>
      <c r="F30" s="89" t="s">
        <v>511</v>
      </c>
      <c r="G30" s="89" t="s">
        <v>511</v>
      </c>
      <c r="H30" s="73" t="s">
        <v>511</v>
      </c>
      <c r="I30" s="89" t="s">
        <v>511</v>
      </c>
      <c r="J30" s="89" t="s">
        <v>511</v>
      </c>
      <c r="K30" s="74">
        <v>130</v>
      </c>
      <c r="L30" s="75">
        <v>19</v>
      </c>
      <c r="M30" s="73" t="s">
        <v>511</v>
      </c>
      <c r="N30" s="73" t="s">
        <v>511</v>
      </c>
      <c r="O30" s="85">
        <v>62</v>
      </c>
      <c r="P30" s="85">
        <v>6.2</v>
      </c>
      <c r="Q30" s="89" t="s">
        <v>511</v>
      </c>
      <c r="R30" s="89" t="s">
        <v>511</v>
      </c>
      <c r="S30" s="77" t="s">
        <v>511</v>
      </c>
      <c r="T30" s="77" t="s">
        <v>511</v>
      </c>
    </row>
    <row r="31" spans="1:20" s="5" customFormat="1" ht="12.75">
      <c r="A31" s="69" t="s">
        <v>532</v>
      </c>
      <c r="B31" s="70">
        <v>310</v>
      </c>
      <c r="C31" s="71" t="s">
        <v>510</v>
      </c>
      <c r="D31" s="72" t="s">
        <v>511</v>
      </c>
      <c r="E31" s="72" t="s">
        <v>511</v>
      </c>
      <c r="F31" s="73" t="s">
        <v>511</v>
      </c>
      <c r="G31" s="73" t="s">
        <v>511</v>
      </c>
      <c r="H31" s="73" t="s">
        <v>511</v>
      </c>
      <c r="I31" s="73" t="s">
        <v>511</v>
      </c>
      <c r="J31" s="73" t="s">
        <v>511</v>
      </c>
      <c r="K31" s="78" t="s">
        <v>511</v>
      </c>
      <c r="L31" s="82" t="s">
        <v>511</v>
      </c>
      <c r="M31" s="73" t="s">
        <v>511</v>
      </c>
      <c r="N31" s="73" t="s">
        <v>511</v>
      </c>
      <c r="O31" s="74">
        <v>3100</v>
      </c>
      <c r="P31" s="75">
        <v>310</v>
      </c>
      <c r="Q31" s="73" t="s">
        <v>511</v>
      </c>
      <c r="R31" s="73" t="s">
        <v>511</v>
      </c>
      <c r="S31" s="77" t="s">
        <v>511</v>
      </c>
      <c r="T31" s="77" t="s">
        <v>511</v>
      </c>
    </row>
    <row r="32" spans="1:20" s="6" customFormat="1" ht="12.75">
      <c r="A32" s="92" t="s">
        <v>803</v>
      </c>
      <c r="B32" s="75">
        <v>2200</v>
      </c>
      <c r="C32" s="71" t="s">
        <v>510</v>
      </c>
      <c r="D32" s="80" t="s">
        <v>511</v>
      </c>
      <c r="E32" s="80" t="s">
        <v>511</v>
      </c>
      <c r="F32" s="73" t="s">
        <v>511</v>
      </c>
      <c r="G32" s="73" t="s">
        <v>511</v>
      </c>
      <c r="H32" s="81" t="s">
        <v>511</v>
      </c>
      <c r="I32" s="73" t="s">
        <v>511</v>
      </c>
      <c r="J32" s="73" t="s">
        <v>511</v>
      </c>
      <c r="K32" s="74">
        <v>20000</v>
      </c>
      <c r="L32" s="75">
        <v>2200</v>
      </c>
      <c r="M32" s="74">
        <v>240000</v>
      </c>
      <c r="N32" s="74">
        <v>14000</v>
      </c>
      <c r="O32" s="73" t="s">
        <v>511</v>
      </c>
      <c r="P32" s="73" t="s">
        <v>511</v>
      </c>
      <c r="Q32" s="73" t="s">
        <v>511</v>
      </c>
      <c r="R32" s="73" t="s">
        <v>511</v>
      </c>
      <c r="S32" s="77" t="s">
        <v>511</v>
      </c>
      <c r="T32" s="77" t="s">
        <v>511</v>
      </c>
    </row>
    <row r="33" spans="1:20" s="5" customFormat="1" ht="12.75">
      <c r="A33" s="69" t="s">
        <v>117</v>
      </c>
      <c r="B33" s="75">
        <v>3540</v>
      </c>
      <c r="C33" s="71" t="s">
        <v>510</v>
      </c>
      <c r="D33" s="72" t="s">
        <v>511</v>
      </c>
      <c r="E33" s="72" t="s">
        <v>511</v>
      </c>
      <c r="F33" s="73" t="s">
        <v>511</v>
      </c>
      <c r="G33" s="73" t="s">
        <v>511</v>
      </c>
      <c r="H33" s="73" t="s">
        <v>511</v>
      </c>
      <c r="I33" s="73" t="s">
        <v>511</v>
      </c>
      <c r="J33" s="73" t="s">
        <v>511</v>
      </c>
      <c r="K33" s="78" t="s">
        <v>511</v>
      </c>
      <c r="L33" s="82" t="s">
        <v>511</v>
      </c>
      <c r="M33" s="73" t="s">
        <v>511</v>
      </c>
      <c r="N33" s="73" t="s">
        <v>511</v>
      </c>
      <c r="O33" s="74">
        <v>35400</v>
      </c>
      <c r="P33" s="75">
        <v>3540</v>
      </c>
      <c r="Q33" s="73" t="s">
        <v>511</v>
      </c>
      <c r="R33" s="73" t="s">
        <v>511</v>
      </c>
      <c r="S33" s="77" t="s">
        <v>511</v>
      </c>
      <c r="T33" s="77" t="s">
        <v>511</v>
      </c>
    </row>
    <row r="34" spans="1:20" s="5" customFormat="1" ht="12.75">
      <c r="A34" s="69" t="s">
        <v>118</v>
      </c>
      <c r="B34" s="70">
        <v>24</v>
      </c>
      <c r="C34" s="71" t="s">
        <v>510</v>
      </c>
      <c r="D34" s="72" t="s">
        <v>511</v>
      </c>
      <c r="E34" s="72" t="s">
        <v>511</v>
      </c>
      <c r="F34" s="73" t="s">
        <v>511</v>
      </c>
      <c r="G34" s="73" t="s">
        <v>511</v>
      </c>
      <c r="H34" s="73" t="s">
        <v>511</v>
      </c>
      <c r="I34" s="73" t="s">
        <v>511</v>
      </c>
      <c r="J34" s="73" t="s">
        <v>511</v>
      </c>
      <c r="K34" s="74">
        <v>210</v>
      </c>
      <c r="L34" s="75">
        <v>24</v>
      </c>
      <c r="M34" s="73" t="s">
        <v>511</v>
      </c>
      <c r="N34" s="73" t="s">
        <v>511</v>
      </c>
      <c r="O34" s="85">
        <v>438</v>
      </c>
      <c r="P34" s="85">
        <v>43.8</v>
      </c>
      <c r="Q34" s="73" t="s">
        <v>511</v>
      </c>
      <c r="R34" s="73" t="s">
        <v>511</v>
      </c>
      <c r="S34" s="77" t="s">
        <v>511</v>
      </c>
      <c r="T34" s="77" t="s">
        <v>511</v>
      </c>
    </row>
    <row r="35" spans="1:20" s="6" customFormat="1" ht="12.75">
      <c r="A35" s="92" t="s">
        <v>119</v>
      </c>
      <c r="B35" s="70">
        <v>99</v>
      </c>
      <c r="C35" s="85" t="s">
        <v>510</v>
      </c>
      <c r="D35" s="73" t="s">
        <v>511</v>
      </c>
      <c r="E35" s="73" t="s">
        <v>511</v>
      </c>
      <c r="F35" s="73" t="s">
        <v>511</v>
      </c>
      <c r="G35" s="73" t="s">
        <v>511</v>
      </c>
      <c r="H35" s="73" t="s">
        <v>511</v>
      </c>
      <c r="I35" s="73" t="s">
        <v>511</v>
      </c>
      <c r="J35" s="77" t="s">
        <v>511</v>
      </c>
      <c r="K35" s="73" t="s">
        <v>511</v>
      </c>
      <c r="L35" s="73" t="s">
        <v>511</v>
      </c>
      <c r="M35" s="74">
        <v>1800</v>
      </c>
      <c r="N35" s="70">
        <v>99</v>
      </c>
      <c r="O35" s="73" t="s">
        <v>511</v>
      </c>
      <c r="P35" s="73" t="s">
        <v>511</v>
      </c>
      <c r="Q35" s="73" t="s">
        <v>511</v>
      </c>
      <c r="R35" s="73" t="s">
        <v>511</v>
      </c>
      <c r="S35" s="73" t="s">
        <v>511</v>
      </c>
      <c r="T35" s="73" t="s">
        <v>511</v>
      </c>
    </row>
    <row r="36" spans="1:20" s="5" customFormat="1" ht="12.75">
      <c r="A36" s="69" t="s">
        <v>120</v>
      </c>
      <c r="B36" s="70">
        <v>2.3</v>
      </c>
      <c r="C36" s="71" t="s">
        <v>510</v>
      </c>
      <c r="D36" s="72" t="s">
        <v>511</v>
      </c>
      <c r="E36" s="72" t="s">
        <v>511</v>
      </c>
      <c r="F36" s="73" t="s">
        <v>511</v>
      </c>
      <c r="G36" s="73" t="s">
        <v>511</v>
      </c>
      <c r="H36" s="73" t="s">
        <v>511</v>
      </c>
      <c r="I36" s="73" t="s">
        <v>511</v>
      </c>
      <c r="J36" s="73" t="s">
        <v>511</v>
      </c>
      <c r="K36" s="78" t="s">
        <v>511</v>
      </c>
      <c r="L36" s="82" t="s">
        <v>511</v>
      </c>
      <c r="M36" s="73" t="s">
        <v>511</v>
      </c>
      <c r="N36" s="73" t="s">
        <v>511</v>
      </c>
      <c r="O36" s="85">
        <v>23</v>
      </c>
      <c r="P36" s="70">
        <v>2.3</v>
      </c>
      <c r="Q36" s="73" t="s">
        <v>511</v>
      </c>
      <c r="R36" s="73" t="s">
        <v>511</v>
      </c>
      <c r="S36" s="77" t="s">
        <v>511</v>
      </c>
      <c r="T36" s="77" t="s">
        <v>511</v>
      </c>
    </row>
    <row r="37" spans="1:20" s="5" customFormat="1" ht="12.75">
      <c r="A37" s="69" t="s">
        <v>121</v>
      </c>
      <c r="B37" s="75">
        <v>3500</v>
      </c>
      <c r="C37" s="71" t="s">
        <v>510</v>
      </c>
      <c r="D37" s="72" t="s">
        <v>511</v>
      </c>
      <c r="E37" s="72" t="s">
        <v>511</v>
      </c>
      <c r="F37" s="73" t="s">
        <v>511</v>
      </c>
      <c r="G37" s="73" t="s">
        <v>511</v>
      </c>
      <c r="H37" s="73" t="s">
        <v>511</v>
      </c>
      <c r="I37" s="73" t="s">
        <v>511</v>
      </c>
      <c r="J37" s="73" t="s">
        <v>511</v>
      </c>
      <c r="K37" s="78" t="s">
        <v>511</v>
      </c>
      <c r="L37" s="82" t="s">
        <v>511</v>
      </c>
      <c r="M37" s="73" t="s">
        <v>511</v>
      </c>
      <c r="N37" s="73" t="s">
        <v>511</v>
      </c>
      <c r="O37" s="73" t="s">
        <v>511</v>
      </c>
      <c r="P37" s="75">
        <v>3500</v>
      </c>
      <c r="Q37" s="73" t="s">
        <v>511</v>
      </c>
      <c r="R37" s="73" t="s">
        <v>511</v>
      </c>
      <c r="S37" s="77" t="s">
        <v>511</v>
      </c>
      <c r="T37" s="77" t="s">
        <v>511</v>
      </c>
    </row>
    <row r="38" spans="1:20" s="5" customFormat="1" ht="12.75">
      <c r="A38" s="69" t="s">
        <v>122</v>
      </c>
      <c r="B38" s="77">
        <v>4.5</v>
      </c>
      <c r="C38" s="71" t="s">
        <v>510</v>
      </c>
      <c r="D38" s="72" t="s">
        <v>511</v>
      </c>
      <c r="E38" s="72" t="s">
        <v>511</v>
      </c>
      <c r="F38" s="89" t="s">
        <v>511</v>
      </c>
      <c r="G38" s="89" t="s">
        <v>511</v>
      </c>
      <c r="H38" s="73" t="s">
        <v>511</v>
      </c>
      <c r="I38" s="89" t="s">
        <v>511</v>
      </c>
      <c r="J38" s="89" t="s">
        <v>511</v>
      </c>
      <c r="K38" s="78">
        <v>41</v>
      </c>
      <c r="L38" s="93">
        <v>4.5</v>
      </c>
      <c r="M38" s="76" t="s">
        <v>511</v>
      </c>
      <c r="N38" s="76" t="s">
        <v>511</v>
      </c>
      <c r="O38" s="76" t="s">
        <v>511</v>
      </c>
      <c r="P38" s="76" t="s">
        <v>511</v>
      </c>
      <c r="Q38" s="94" t="s">
        <v>511</v>
      </c>
      <c r="R38" s="94" t="s">
        <v>511</v>
      </c>
      <c r="S38" s="79" t="s">
        <v>511</v>
      </c>
      <c r="T38" s="79" t="s">
        <v>511</v>
      </c>
    </row>
    <row r="39" spans="1:20" s="5" customFormat="1" ht="12.75">
      <c r="A39" s="69" t="s">
        <v>123</v>
      </c>
      <c r="B39" s="70">
        <v>1.5</v>
      </c>
      <c r="C39" s="71" t="s">
        <v>510</v>
      </c>
      <c r="D39" s="72" t="s">
        <v>511</v>
      </c>
      <c r="E39" s="72" t="s">
        <v>511</v>
      </c>
      <c r="F39" s="89" t="s">
        <v>511</v>
      </c>
      <c r="G39" s="89" t="s">
        <v>511</v>
      </c>
      <c r="H39" s="73" t="s">
        <v>511</v>
      </c>
      <c r="I39" s="89" t="s">
        <v>511</v>
      </c>
      <c r="J39" s="89" t="s">
        <v>511</v>
      </c>
      <c r="K39" s="78" t="s">
        <v>511</v>
      </c>
      <c r="L39" s="82" t="s">
        <v>511</v>
      </c>
      <c r="M39" s="73" t="s">
        <v>511</v>
      </c>
      <c r="N39" s="95">
        <v>1.5</v>
      </c>
      <c r="O39" s="73" t="s">
        <v>511</v>
      </c>
      <c r="P39" s="73" t="s">
        <v>511</v>
      </c>
      <c r="Q39" s="89" t="s">
        <v>511</v>
      </c>
      <c r="R39" s="89" t="s">
        <v>511</v>
      </c>
      <c r="S39" s="77" t="s">
        <v>511</v>
      </c>
      <c r="T39" s="77" t="s">
        <v>511</v>
      </c>
    </row>
    <row r="40" spans="1:20" s="5" customFormat="1" ht="24">
      <c r="A40" s="96" t="s">
        <v>124</v>
      </c>
      <c r="B40" s="70">
        <v>7.4</v>
      </c>
      <c r="C40" s="71" t="s">
        <v>510</v>
      </c>
      <c r="D40" s="72" t="s">
        <v>511</v>
      </c>
      <c r="E40" s="72" t="s">
        <v>511</v>
      </c>
      <c r="F40" s="89" t="s">
        <v>511</v>
      </c>
      <c r="G40" s="89" t="s">
        <v>511</v>
      </c>
      <c r="H40" s="73" t="s">
        <v>511</v>
      </c>
      <c r="I40" s="89" t="s">
        <v>511</v>
      </c>
      <c r="J40" s="89" t="s">
        <v>511</v>
      </c>
      <c r="K40" s="74">
        <v>67</v>
      </c>
      <c r="L40" s="97">
        <v>7.4</v>
      </c>
      <c r="M40" s="73" t="s">
        <v>511</v>
      </c>
      <c r="N40" s="73" t="s">
        <v>511</v>
      </c>
      <c r="O40" s="85">
        <v>3</v>
      </c>
      <c r="P40" s="85">
        <v>0.3</v>
      </c>
      <c r="Q40" s="89" t="s">
        <v>511</v>
      </c>
      <c r="R40" s="89" t="s">
        <v>511</v>
      </c>
      <c r="S40" s="77" t="s">
        <v>511</v>
      </c>
      <c r="T40" s="77" t="s">
        <v>511</v>
      </c>
    </row>
    <row r="41" spans="1:20" s="5" customFormat="1" ht="12.75">
      <c r="A41" s="96" t="s">
        <v>784</v>
      </c>
      <c r="B41" s="70">
        <v>20</v>
      </c>
      <c r="C41" s="71" t="s">
        <v>510</v>
      </c>
      <c r="D41" s="72" t="s">
        <v>511</v>
      </c>
      <c r="E41" s="72" t="s">
        <v>511</v>
      </c>
      <c r="F41" s="89" t="s">
        <v>511</v>
      </c>
      <c r="G41" s="89" t="s">
        <v>511</v>
      </c>
      <c r="H41" s="73" t="s">
        <v>511</v>
      </c>
      <c r="I41" s="89" t="s">
        <v>511</v>
      </c>
      <c r="J41" s="89" t="s">
        <v>511</v>
      </c>
      <c r="K41" s="74">
        <v>180</v>
      </c>
      <c r="L41" s="75">
        <v>20</v>
      </c>
      <c r="M41" s="73" t="s">
        <v>511</v>
      </c>
      <c r="N41" s="73" t="s">
        <v>511</v>
      </c>
      <c r="O41" s="73" t="s">
        <v>511</v>
      </c>
      <c r="P41" s="73" t="s">
        <v>511</v>
      </c>
      <c r="Q41" s="73" t="s">
        <v>511</v>
      </c>
      <c r="R41" s="89" t="s">
        <v>511</v>
      </c>
      <c r="S41" s="77" t="s">
        <v>511</v>
      </c>
      <c r="T41" s="77" t="s">
        <v>511</v>
      </c>
    </row>
    <row r="42" spans="1:20" s="6" customFormat="1" ht="12.75">
      <c r="A42" s="92" t="s">
        <v>125</v>
      </c>
      <c r="B42" s="70">
        <v>170</v>
      </c>
      <c r="C42" s="85" t="s">
        <v>510</v>
      </c>
      <c r="D42" s="73" t="s">
        <v>511</v>
      </c>
      <c r="E42" s="73" t="s">
        <v>511</v>
      </c>
      <c r="F42" s="163" t="s">
        <v>511</v>
      </c>
      <c r="G42" s="73" t="s">
        <v>511</v>
      </c>
      <c r="H42" s="73" t="s">
        <v>511</v>
      </c>
      <c r="I42" s="73" t="s">
        <v>511</v>
      </c>
      <c r="J42" s="77" t="s">
        <v>511</v>
      </c>
      <c r="K42" s="73" t="s">
        <v>511</v>
      </c>
      <c r="L42" s="73" t="s">
        <v>511</v>
      </c>
      <c r="M42" s="74">
        <v>2200</v>
      </c>
      <c r="N42" s="70">
        <v>170</v>
      </c>
      <c r="O42" s="73" t="s">
        <v>511</v>
      </c>
      <c r="P42" s="73" t="s">
        <v>511</v>
      </c>
      <c r="Q42" s="73" t="s">
        <v>511</v>
      </c>
      <c r="R42" s="73" t="s">
        <v>511</v>
      </c>
      <c r="S42" s="73" t="s">
        <v>511</v>
      </c>
      <c r="T42" s="73" t="s">
        <v>511</v>
      </c>
    </row>
    <row r="43" spans="1:20" s="5" customFormat="1" ht="12.75">
      <c r="A43" s="69" t="s">
        <v>126</v>
      </c>
      <c r="B43" s="77">
        <v>60</v>
      </c>
      <c r="C43" s="71" t="s">
        <v>510</v>
      </c>
      <c r="D43" s="72" t="s">
        <v>511</v>
      </c>
      <c r="E43" s="72" t="s">
        <v>511</v>
      </c>
      <c r="F43" s="242" t="s">
        <v>511</v>
      </c>
      <c r="G43" s="89" t="s">
        <v>511</v>
      </c>
      <c r="H43" s="73" t="s">
        <v>511</v>
      </c>
      <c r="I43" s="89" t="s">
        <v>511</v>
      </c>
      <c r="J43" s="89" t="s">
        <v>511</v>
      </c>
      <c r="K43" s="78">
        <v>540</v>
      </c>
      <c r="L43" s="82">
        <v>60</v>
      </c>
      <c r="M43" s="74">
        <v>1200</v>
      </c>
      <c r="N43" s="85">
        <v>300</v>
      </c>
      <c r="O43" s="85">
        <v>828</v>
      </c>
      <c r="P43" s="85">
        <v>82.8</v>
      </c>
      <c r="Q43" s="73" t="s">
        <v>511</v>
      </c>
      <c r="R43" s="73" t="s">
        <v>511</v>
      </c>
      <c r="S43" s="77" t="s">
        <v>511</v>
      </c>
      <c r="T43" s="77" t="s">
        <v>511</v>
      </c>
    </row>
    <row r="44" spans="1:20" s="5" customFormat="1" ht="12.75">
      <c r="A44" s="69" t="s">
        <v>127</v>
      </c>
      <c r="B44" s="70">
        <v>38</v>
      </c>
      <c r="C44" s="71" t="s">
        <v>510</v>
      </c>
      <c r="D44" s="72" t="s">
        <v>511</v>
      </c>
      <c r="E44" s="72" t="s">
        <v>511</v>
      </c>
      <c r="F44" s="89" t="s">
        <v>511</v>
      </c>
      <c r="G44" s="89" t="s">
        <v>511</v>
      </c>
      <c r="H44" s="73" t="s">
        <v>511</v>
      </c>
      <c r="I44" s="89" t="s">
        <v>511</v>
      </c>
      <c r="J44" s="89" t="s">
        <v>511</v>
      </c>
      <c r="K44" s="74">
        <v>100</v>
      </c>
      <c r="L44" s="75">
        <v>38</v>
      </c>
      <c r="M44" s="73" t="s">
        <v>511</v>
      </c>
      <c r="N44" s="73" t="s">
        <v>511</v>
      </c>
      <c r="O44" s="98">
        <v>170</v>
      </c>
      <c r="P44" s="98">
        <v>17</v>
      </c>
      <c r="Q44" s="99">
        <v>5.8</v>
      </c>
      <c r="R44" s="76" t="s">
        <v>511</v>
      </c>
      <c r="S44" s="79" t="s">
        <v>511</v>
      </c>
      <c r="T44" s="100" t="s">
        <v>511</v>
      </c>
    </row>
    <row r="45" spans="1:20" s="5" customFormat="1" ht="12.75">
      <c r="A45" s="69" t="s">
        <v>128</v>
      </c>
      <c r="B45" s="75">
        <v>1700</v>
      </c>
      <c r="C45" s="71" t="s">
        <v>510</v>
      </c>
      <c r="D45" s="72" t="s">
        <v>511</v>
      </c>
      <c r="E45" s="72" t="s">
        <v>511</v>
      </c>
      <c r="F45" s="73" t="s">
        <v>511</v>
      </c>
      <c r="G45" s="73" t="s">
        <v>511</v>
      </c>
      <c r="H45" s="73" t="s">
        <v>511</v>
      </c>
      <c r="I45" s="73" t="s">
        <v>511</v>
      </c>
      <c r="J45" s="73" t="s">
        <v>511</v>
      </c>
      <c r="K45" s="74">
        <v>15000</v>
      </c>
      <c r="L45" s="75">
        <v>1700</v>
      </c>
      <c r="M45" s="74">
        <v>28000</v>
      </c>
      <c r="N45" s="74">
        <v>1500</v>
      </c>
      <c r="O45" s="73" t="s">
        <v>511</v>
      </c>
      <c r="P45" s="73" t="s">
        <v>511</v>
      </c>
      <c r="Q45" s="73" t="s">
        <v>511</v>
      </c>
      <c r="R45" s="73" t="s">
        <v>511</v>
      </c>
      <c r="S45" s="77" t="s">
        <v>511</v>
      </c>
      <c r="T45" s="77" t="s">
        <v>511</v>
      </c>
    </row>
    <row r="46" spans="1:20" s="5" customFormat="1" ht="12.75">
      <c r="A46" s="69" t="s">
        <v>129</v>
      </c>
      <c r="B46" s="70">
        <v>2.1</v>
      </c>
      <c r="C46" s="71" t="s">
        <v>510</v>
      </c>
      <c r="D46" s="72" t="s">
        <v>511</v>
      </c>
      <c r="E46" s="72" t="s">
        <v>511</v>
      </c>
      <c r="F46" s="73" t="s">
        <v>511</v>
      </c>
      <c r="G46" s="73" t="s">
        <v>511</v>
      </c>
      <c r="H46" s="73" t="s">
        <v>511</v>
      </c>
      <c r="I46" s="73" t="s">
        <v>511</v>
      </c>
      <c r="J46" s="73" t="s">
        <v>511</v>
      </c>
      <c r="K46" s="78" t="s">
        <v>511</v>
      </c>
      <c r="L46" s="82" t="s">
        <v>511</v>
      </c>
      <c r="M46" s="73" t="s">
        <v>511</v>
      </c>
      <c r="N46" s="73" t="s">
        <v>511</v>
      </c>
      <c r="O46" s="85">
        <v>6.8</v>
      </c>
      <c r="P46" s="70">
        <v>2.1</v>
      </c>
      <c r="Q46" s="73" t="s">
        <v>511</v>
      </c>
      <c r="R46" s="73" t="s">
        <v>511</v>
      </c>
      <c r="S46" s="77" t="s">
        <v>511</v>
      </c>
      <c r="T46" s="77" t="s">
        <v>511</v>
      </c>
    </row>
    <row r="47" spans="1:20" s="5" customFormat="1" ht="12.75">
      <c r="A47" s="69" t="s">
        <v>130</v>
      </c>
      <c r="B47" s="77">
        <v>66</v>
      </c>
      <c r="C47" s="71" t="s">
        <v>510</v>
      </c>
      <c r="D47" s="72" t="s">
        <v>511</v>
      </c>
      <c r="E47" s="72" t="s">
        <v>511</v>
      </c>
      <c r="F47" s="73" t="s">
        <v>511</v>
      </c>
      <c r="G47" s="73" t="s">
        <v>511</v>
      </c>
      <c r="H47" s="73" t="s">
        <v>511</v>
      </c>
      <c r="I47" s="73" t="s">
        <v>511</v>
      </c>
      <c r="J47" s="73" t="s">
        <v>511</v>
      </c>
      <c r="K47" s="78">
        <v>590</v>
      </c>
      <c r="L47" s="82">
        <v>66</v>
      </c>
      <c r="M47" s="73" t="s">
        <v>511</v>
      </c>
      <c r="N47" s="73" t="s">
        <v>511</v>
      </c>
      <c r="O47" s="85">
        <v>755</v>
      </c>
      <c r="P47" s="85">
        <v>75.5</v>
      </c>
      <c r="Q47" s="101" t="s">
        <v>511</v>
      </c>
      <c r="R47" s="101" t="s">
        <v>511</v>
      </c>
      <c r="S47" s="77" t="s">
        <v>511</v>
      </c>
      <c r="T47" s="77" t="s">
        <v>511</v>
      </c>
    </row>
    <row r="48" spans="1:20" s="5" customFormat="1" ht="12.75">
      <c r="A48" s="69" t="s">
        <v>131</v>
      </c>
      <c r="B48" s="77">
        <v>11</v>
      </c>
      <c r="C48" s="71" t="s">
        <v>510</v>
      </c>
      <c r="D48" s="72" t="s">
        <v>511</v>
      </c>
      <c r="E48" s="72" t="s">
        <v>511</v>
      </c>
      <c r="F48" s="73" t="s">
        <v>511</v>
      </c>
      <c r="G48" s="73" t="s">
        <v>511</v>
      </c>
      <c r="H48" s="73" t="s">
        <v>511</v>
      </c>
      <c r="I48" s="73" t="s">
        <v>511</v>
      </c>
      <c r="J48" s="73" t="s">
        <v>511</v>
      </c>
      <c r="K48" s="78">
        <v>150</v>
      </c>
      <c r="L48" s="82">
        <v>11</v>
      </c>
      <c r="M48" s="73" t="s">
        <v>511</v>
      </c>
      <c r="N48" s="73" t="s">
        <v>511</v>
      </c>
      <c r="O48" s="73" t="s">
        <v>511</v>
      </c>
      <c r="P48" s="73" t="s">
        <v>511</v>
      </c>
      <c r="Q48" s="73" t="s">
        <v>511</v>
      </c>
      <c r="R48" s="73" t="s">
        <v>511</v>
      </c>
      <c r="S48" s="77" t="s">
        <v>511</v>
      </c>
      <c r="T48" s="77" t="s">
        <v>511</v>
      </c>
    </row>
    <row r="49" spans="1:20" s="5" customFormat="1" ht="12.75">
      <c r="A49" s="69" t="s">
        <v>132</v>
      </c>
      <c r="B49" s="102">
        <v>1</v>
      </c>
      <c r="C49" s="71" t="s">
        <v>510</v>
      </c>
      <c r="D49" s="72" t="s">
        <v>511</v>
      </c>
      <c r="E49" s="72" t="s">
        <v>511</v>
      </c>
      <c r="F49" s="73" t="s">
        <v>511</v>
      </c>
      <c r="G49" s="73" t="s">
        <v>511</v>
      </c>
      <c r="H49" s="73" t="s">
        <v>511</v>
      </c>
      <c r="I49" s="73" t="s">
        <v>511</v>
      </c>
      <c r="J49" s="73" t="s">
        <v>511</v>
      </c>
      <c r="K49" s="73" t="s">
        <v>511</v>
      </c>
      <c r="L49" s="77" t="s">
        <v>511</v>
      </c>
      <c r="M49" s="73" t="s">
        <v>511</v>
      </c>
      <c r="N49" s="73" t="s">
        <v>511</v>
      </c>
      <c r="O49" s="73" t="s">
        <v>511</v>
      </c>
      <c r="P49" s="73" t="s">
        <v>511</v>
      </c>
      <c r="Q49" s="103">
        <v>1</v>
      </c>
      <c r="R49" s="103" t="s">
        <v>511</v>
      </c>
      <c r="S49" s="77" t="s">
        <v>511</v>
      </c>
      <c r="T49" s="77" t="s">
        <v>511</v>
      </c>
    </row>
    <row r="50" spans="1:20" s="5" customFormat="1" ht="48">
      <c r="A50" s="69" t="s">
        <v>133</v>
      </c>
      <c r="B50" s="70">
        <v>3</v>
      </c>
      <c r="C50" s="71" t="s">
        <v>510</v>
      </c>
      <c r="D50" s="104">
        <v>3</v>
      </c>
      <c r="E50" s="80" t="s">
        <v>511</v>
      </c>
      <c r="F50" s="243">
        <v>3</v>
      </c>
      <c r="G50" s="105" t="s">
        <v>511</v>
      </c>
      <c r="H50" s="106" t="s">
        <v>804</v>
      </c>
      <c r="I50" s="107">
        <v>3</v>
      </c>
      <c r="J50" s="105" t="s">
        <v>511</v>
      </c>
      <c r="K50" s="108">
        <v>0.15</v>
      </c>
      <c r="L50" s="109">
        <v>0.017</v>
      </c>
      <c r="M50" s="108" t="s">
        <v>511</v>
      </c>
      <c r="N50" s="108" t="s">
        <v>511</v>
      </c>
      <c r="O50" s="88">
        <v>3</v>
      </c>
      <c r="P50" s="110">
        <v>0.3</v>
      </c>
      <c r="Q50" s="105" t="s">
        <v>511</v>
      </c>
      <c r="R50" s="105" t="s">
        <v>511</v>
      </c>
      <c r="S50" s="108" t="s">
        <v>511</v>
      </c>
      <c r="T50" s="108" t="s">
        <v>511</v>
      </c>
    </row>
    <row r="51" spans="1:20" s="5" customFormat="1" ht="13.5">
      <c r="A51" s="111" t="s">
        <v>157</v>
      </c>
      <c r="B51" s="112">
        <v>20000</v>
      </c>
      <c r="C51" s="113" t="s">
        <v>134</v>
      </c>
      <c r="D51" s="114" t="s">
        <v>511</v>
      </c>
      <c r="E51" s="114" t="s">
        <v>511</v>
      </c>
      <c r="F51" s="115" t="s">
        <v>511</v>
      </c>
      <c r="G51" s="115" t="s">
        <v>511</v>
      </c>
      <c r="H51" s="115" t="s">
        <v>511</v>
      </c>
      <c r="I51" s="115" t="s">
        <v>511</v>
      </c>
      <c r="J51" s="112">
        <v>20000</v>
      </c>
      <c r="K51" s="115" t="s">
        <v>511</v>
      </c>
      <c r="L51" s="115" t="s">
        <v>511</v>
      </c>
      <c r="M51" s="115" t="s">
        <v>511</v>
      </c>
      <c r="N51" s="115" t="s">
        <v>511</v>
      </c>
      <c r="O51" s="115" t="s">
        <v>511</v>
      </c>
      <c r="P51" s="115" t="s">
        <v>511</v>
      </c>
      <c r="Q51" s="115" t="s">
        <v>511</v>
      </c>
      <c r="R51" s="115" t="s">
        <v>511</v>
      </c>
      <c r="S51" s="115" t="s">
        <v>511</v>
      </c>
      <c r="T51" s="115" t="s">
        <v>511</v>
      </c>
    </row>
    <row r="52" spans="1:20" s="7" customFormat="1" ht="12.75">
      <c r="A52" s="69" t="s">
        <v>135</v>
      </c>
      <c r="B52" s="70">
        <v>0.056</v>
      </c>
      <c r="C52" s="71" t="s">
        <v>510</v>
      </c>
      <c r="D52" s="104">
        <v>0.22</v>
      </c>
      <c r="E52" s="104">
        <v>0.056</v>
      </c>
      <c r="F52" s="110">
        <v>0.22</v>
      </c>
      <c r="G52" s="116">
        <v>0.056</v>
      </c>
      <c r="H52" s="106" t="s">
        <v>136</v>
      </c>
      <c r="I52" s="110">
        <v>0.22</v>
      </c>
      <c r="J52" s="110">
        <v>0.056</v>
      </c>
      <c r="K52" s="108" t="s">
        <v>511</v>
      </c>
      <c r="L52" s="108" t="s">
        <v>511</v>
      </c>
      <c r="M52" s="108" t="s">
        <v>511</v>
      </c>
      <c r="N52" s="108" t="s">
        <v>511</v>
      </c>
      <c r="O52" s="110">
        <v>0.22</v>
      </c>
      <c r="P52" s="110">
        <v>0.056</v>
      </c>
      <c r="Q52" s="108" t="s">
        <v>511</v>
      </c>
      <c r="R52" s="108" t="s">
        <v>511</v>
      </c>
      <c r="S52" s="108" t="s">
        <v>511</v>
      </c>
      <c r="T52" s="108" t="s">
        <v>511</v>
      </c>
    </row>
    <row r="53" spans="1:20" s="5" customFormat="1" ht="36">
      <c r="A53" s="69" t="s">
        <v>138</v>
      </c>
      <c r="B53" s="70">
        <v>87</v>
      </c>
      <c r="C53" s="71" t="s">
        <v>510</v>
      </c>
      <c r="D53" s="104">
        <v>750</v>
      </c>
      <c r="E53" s="117">
        <v>87</v>
      </c>
      <c r="F53" s="88">
        <v>750</v>
      </c>
      <c r="G53" s="70">
        <v>87</v>
      </c>
      <c r="H53" s="118" t="s">
        <v>805</v>
      </c>
      <c r="I53" s="73" t="s">
        <v>511</v>
      </c>
      <c r="J53" s="73" t="s">
        <v>511</v>
      </c>
      <c r="K53" s="73" t="s">
        <v>511</v>
      </c>
      <c r="L53" s="73" t="s">
        <v>511</v>
      </c>
      <c r="M53" s="73" t="s">
        <v>511</v>
      </c>
      <c r="N53" s="73" t="s">
        <v>511</v>
      </c>
      <c r="O53" s="73">
        <v>750</v>
      </c>
      <c r="P53" s="77">
        <v>87</v>
      </c>
      <c r="Q53" s="73" t="s">
        <v>511</v>
      </c>
      <c r="R53" s="73" t="s">
        <v>511</v>
      </c>
      <c r="S53" s="73" t="s">
        <v>511</v>
      </c>
      <c r="T53" s="73" t="s">
        <v>511</v>
      </c>
    </row>
    <row r="54" spans="1:20" s="5" customFormat="1" ht="12.75">
      <c r="A54" s="69" t="s">
        <v>139</v>
      </c>
      <c r="B54" s="77">
        <v>87</v>
      </c>
      <c r="C54" s="71" t="s">
        <v>510</v>
      </c>
      <c r="D54" s="73" t="s">
        <v>511</v>
      </c>
      <c r="E54" s="73" t="s">
        <v>511</v>
      </c>
      <c r="F54" s="73" t="s">
        <v>511</v>
      </c>
      <c r="G54" s="73" t="s">
        <v>511</v>
      </c>
      <c r="H54" s="73" t="s">
        <v>511</v>
      </c>
      <c r="I54" s="85">
        <v>750</v>
      </c>
      <c r="J54" s="77">
        <v>87</v>
      </c>
      <c r="K54" s="73" t="s">
        <v>511</v>
      </c>
      <c r="L54" s="73" t="s">
        <v>511</v>
      </c>
      <c r="M54" s="73" t="s">
        <v>511</v>
      </c>
      <c r="N54" s="73" t="s">
        <v>511</v>
      </c>
      <c r="O54" s="73" t="s">
        <v>511</v>
      </c>
      <c r="P54" s="73" t="s">
        <v>511</v>
      </c>
      <c r="Q54" s="73" t="s">
        <v>511</v>
      </c>
      <c r="R54" s="73" t="s">
        <v>511</v>
      </c>
      <c r="S54" s="73" t="s">
        <v>511</v>
      </c>
      <c r="T54" s="73" t="s">
        <v>511</v>
      </c>
    </row>
    <row r="55" spans="1:20" s="5" customFormat="1" ht="36">
      <c r="A55" s="69" t="s">
        <v>140</v>
      </c>
      <c r="B55" s="70">
        <v>0.475</v>
      </c>
      <c r="C55" s="71" t="s">
        <v>141</v>
      </c>
      <c r="D55" s="119">
        <v>3.88</v>
      </c>
      <c r="E55" s="119">
        <v>0.475</v>
      </c>
      <c r="F55" s="110">
        <v>3.88</v>
      </c>
      <c r="G55" s="116">
        <v>0.475</v>
      </c>
      <c r="H55" s="118" t="s">
        <v>806</v>
      </c>
      <c r="I55" s="110">
        <v>3.88</v>
      </c>
      <c r="J55" s="120">
        <v>0.475</v>
      </c>
      <c r="K55" s="85">
        <v>0.21</v>
      </c>
      <c r="L55" s="85">
        <v>0.053</v>
      </c>
      <c r="M55" s="108" t="s">
        <v>511</v>
      </c>
      <c r="N55" s="108" t="s">
        <v>511</v>
      </c>
      <c r="O55" s="108" t="s">
        <v>511</v>
      </c>
      <c r="P55" s="108" t="s">
        <v>511</v>
      </c>
      <c r="Q55" s="85">
        <v>19</v>
      </c>
      <c r="R55" s="73" t="s">
        <v>511</v>
      </c>
      <c r="S55" s="108" t="s">
        <v>511</v>
      </c>
      <c r="T55" s="108" t="s">
        <v>511</v>
      </c>
    </row>
    <row r="56" spans="1:20" s="5" customFormat="1" ht="12.75">
      <c r="A56" s="69" t="s">
        <v>142</v>
      </c>
      <c r="B56" s="70">
        <v>0.73</v>
      </c>
      <c r="C56" s="71" t="s">
        <v>510</v>
      </c>
      <c r="D56" s="72" t="s">
        <v>511</v>
      </c>
      <c r="E56" s="72" t="s">
        <v>511</v>
      </c>
      <c r="F56" s="73" t="s">
        <v>511</v>
      </c>
      <c r="G56" s="73" t="s">
        <v>511</v>
      </c>
      <c r="H56" s="73" t="s">
        <v>511</v>
      </c>
      <c r="I56" s="73" t="s">
        <v>511</v>
      </c>
      <c r="J56" s="77" t="s">
        <v>511</v>
      </c>
      <c r="K56" s="73" t="s">
        <v>511</v>
      </c>
      <c r="L56" s="73" t="s">
        <v>511</v>
      </c>
      <c r="M56" s="98">
        <v>13</v>
      </c>
      <c r="N56" s="121">
        <v>0.73</v>
      </c>
      <c r="O56" s="108" t="s">
        <v>511</v>
      </c>
      <c r="P56" s="108" t="s">
        <v>511</v>
      </c>
      <c r="Q56" s="120">
        <v>0.012</v>
      </c>
      <c r="R56" s="109" t="s">
        <v>511</v>
      </c>
      <c r="S56" s="73" t="s">
        <v>511</v>
      </c>
      <c r="T56" s="73" t="s">
        <v>511</v>
      </c>
    </row>
    <row r="57" spans="1:20" s="5" customFormat="1" ht="12.75">
      <c r="A57" s="69" t="s">
        <v>143</v>
      </c>
      <c r="B57" s="70">
        <v>240</v>
      </c>
      <c r="C57" s="71" t="s">
        <v>510</v>
      </c>
      <c r="D57" s="72" t="s">
        <v>511</v>
      </c>
      <c r="E57" s="72" t="s">
        <v>511</v>
      </c>
      <c r="F57" s="73" t="s">
        <v>511</v>
      </c>
      <c r="G57" s="73" t="s">
        <v>511</v>
      </c>
      <c r="H57" s="73" t="s">
        <v>511</v>
      </c>
      <c r="I57" s="73" t="s">
        <v>511</v>
      </c>
      <c r="J57" s="73" t="s">
        <v>511</v>
      </c>
      <c r="K57" s="74">
        <v>1100</v>
      </c>
      <c r="L57" s="70">
        <v>240</v>
      </c>
      <c r="M57" s="85">
        <v>180</v>
      </c>
      <c r="N57" s="85">
        <v>30</v>
      </c>
      <c r="O57" s="78">
        <v>1300</v>
      </c>
      <c r="P57" s="73">
        <v>160</v>
      </c>
      <c r="Q57" s="73" t="s">
        <v>511</v>
      </c>
      <c r="R57" s="73" t="s">
        <v>511</v>
      </c>
      <c r="S57" s="77" t="s">
        <v>511</v>
      </c>
      <c r="T57" s="77" t="s">
        <v>511</v>
      </c>
    </row>
    <row r="58" spans="1:20" s="5" customFormat="1" ht="12.75">
      <c r="A58" s="69" t="s">
        <v>144</v>
      </c>
      <c r="B58" s="70">
        <v>0.28</v>
      </c>
      <c r="C58" s="71" t="s">
        <v>510</v>
      </c>
      <c r="D58" s="80" t="s">
        <v>511</v>
      </c>
      <c r="E58" s="80" t="s">
        <v>511</v>
      </c>
      <c r="F58" s="73" t="s">
        <v>511</v>
      </c>
      <c r="G58" s="77" t="s">
        <v>511</v>
      </c>
      <c r="H58" s="81" t="s">
        <v>511</v>
      </c>
      <c r="I58" s="73" t="s">
        <v>511</v>
      </c>
      <c r="J58" s="73" t="s">
        <v>511</v>
      </c>
      <c r="K58" s="73" t="s">
        <v>511</v>
      </c>
      <c r="L58" s="73" t="s">
        <v>511</v>
      </c>
      <c r="M58" s="98">
        <v>5</v>
      </c>
      <c r="N58" s="70">
        <v>0.28</v>
      </c>
      <c r="O58" s="99">
        <v>0.2</v>
      </c>
      <c r="P58" s="120">
        <v>0.014</v>
      </c>
      <c r="Q58" s="73" t="s">
        <v>511</v>
      </c>
      <c r="R58" s="73" t="s">
        <v>511</v>
      </c>
      <c r="S58" s="73" t="s">
        <v>511</v>
      </c>
      <c r="T58" s="73" t="s">
        <v>511</v>
      </c>
    </row>
    <row r="59" spans="1:20" s="5" customFormat="1" ht="12.75">
      <c r="A59" s="69" t="s">
        <v>145</v>
      </c>
      <c r="B59" s="70">
        <v>0.58</v>
      </c>
      <c r="C59" s="71" t="s">
        <v>510</v>
      </c>
      <c r="D59" s="80" t="s">
        <v>511</v>
      </c>
      <c r="E59" s="80" t="s">
        <v>511</v>
      </c>
      <c r="F59" s="73" t="s">
        <v>511</v>
      </c>
      <c r="G59" s="77" t="s">
        <v>511</v>
      </c>
      <c r="H59" s="81" t="s">
        <v>511</v>
      </c>
      <c r="I59" s="73" t="s">
        <v>511</v>
      </c>
      <c r="J59" s="73" t="s">
        <v>511</v>
      </c>
      <c r="K59" s="73" t="s">
        <v>511</v>
      </c>
      <c r="L59" s="73" t="s">
        <v>511</v>
      </c>
      <c r="M59" s="98">
        <v>10</v>
      </c>
      <c r="N59" s="121">
        <v>0.58</v>
      </c>
      <c r="O59" s="99">
        <v>0.2</v>
      </c>
      <c r="P59" s="120">
        <v>0.014</v>
      </c>
      <c r="Q59" s="73" t="s">
        <v>511</v>
      </c>
      <c r="R59" s="73" t="s">
        <v>511</v>
      </c>
      <c r="S59" s="73" t="s">
        <v>511</v>
      </c>
      <c r="T59" s="73" t="s">
        <v>511</v>
      </c>
    </row>
    <row r="60" spans="1:20" s="5" customFormat="1" ht="12.75">
      <c r="A60" s="69" t="s">
        <v>146</v>
      </c>
      <c r="B60" s="70">
        <v>0.053</v>
      </c>
      <c r="C60" s="71" t="s">
        <v>510</v>
      </c>
      <c r="D60" s="80" t="s">
        <v>511</v>
      </c>
      <c r="E60" s="80" t="s">
        <v>511</v>
      </c>
      <c r="F60" s="73" t="s">
        <v>511</v>
      </c>
      <c r="G60" s="77" t="s">
        <v>511</v>
      </c>
      <c r="H60" s="81" t="s">
        <v>511</v>
      </c>
      <c r="I60" s="73" t="s">
        <v>511</v>
      </c>
      <c r="J60" s="73" t="s">
        <v>511</v>
      </c>
      <c r="K60" s="73" t="s">
        <v>511</v>
      </c>
      <c r="L60" s="73" t="s">
        <v>511</v>
      </c>
      <c r="M60" s="99">
        <v>1.2</v>
      </c>
      <c r="N60" s="116">
        <v>0.053</v>
      </c>
      <c r="O60" s="99">
        <v>0.2</v>
      </c>
      <c r="P60" s="120">
        <v>0.014</v>
      </c>
      <c r="Q60" s="73" t="s">
        <v>511</v>
      </c>
      <c r="R60" s="73" t="s">
        <v>511</v>
      </c>
      <c r="S60" s="73" t="s">
        <v>511</v>
      </c>
      <c r="T60" s="73" t="s">
        <v>511</v>
      </c>
    </row>
    <row r="61" spans="1:20" s="5" customFormat="1" ht="12.75">
      <c r="A61" s="69" t="s">
        <v>147</v>
      </c>
      <c r="B61" s="70">
        <v>0.081</v>
      </c>
      <c r="C61" s="71" t="s">
        <v>510</v>
      </c>
      <c r="D61" s="80" t="s">
        <v>511</v>
      </c>
      <c r="E61" s="80" t="s">
        <v>511</v>
      </c>
      <c r="F61" s="73" t="s">
        <v>511</v>
      </c>
      <c r="G61" s="77" t="s">
        <v>511</v>
      </c>
      <c r="H61" s="81" t="s">
        <v>511</v>
      </c>
      <c r="I61" s="73" t="s">
        <v>511</v>
      </c>
      <c r="J61" s="73" t="s">
        <v>511</v>
      </c>
      <c r="K61" s="73" t="s">
        <v>511</v>
      </c>
      <c r="L61" s="73" t="s">
        <v>511</v>
      </c>
      <c r="M61" s="99">
        <v>1.4</v>
      </c>
      <c r="N61" s="116">
        <v>0.081</v>
      </c>
      <c r="O61" s="99">
        <v>0.2</v>
      </c>
      <c r="P61" s="120">
        <v>0.014</v>
      </c>
      <c r="Q61" s="73" t="s">
        <v>511</v>
      </c>
      <c r="R61" s="73" t="s">
        <v>511</v>
      </c>
      <c r="S61" s="73" t="s">
        <v>511</v>
      </c>
      <c r="T61" s="73" t="s">
        <v>511</v>
      </c>
    </row>
    <row r="62" spans="1:20" s="5" customFormat="1" ht="12.75">
      <c r="A62" s="69" t="s">
        <v>148</v>
      </c>
      <c r="B62" s="70">
        <v>0.033</v>
      </c>
      <c r="C62" s="71" t="s">
        <v>510</v>
      </c>
      <c r="D62" s="80" t="s">
        <v>511</v>
      </c>
      <c r="E62" s="80" t="s">
        <v>511</v>
      </c>
      <c r="F62" s="107" t="s">
        <v>511</v>
      </c>
      <c r="G62" s="77" t="s">
        <v>511</v>
      </c>
      <c r="H62" s="81" t="s">
        <v>511</v>
      </c>
      <c r="I62" s="73" t="s">
        <v>511</v>
      </c>
      <c r="J62" s="73" t="s">
        <v>511</v>
      </c>
      <c r="K62" s="73" t="s">
        <v>511</v>
      </c>
      <c r="L62" s="73" t="s">
        <v>511</v>
      </c>
      <c r="M62" s="99">
        <v>0.6</v>
      </c>
      <c r="N62" s="116">
        <v>0.033</v>
      </c>
      <c r="O62" s="99">
        <v>0.2</v>
      </c>
      <c r="P62" s="120">
        <v>0.014</v>
      </c>
      <c r="Q62" s="73" t="s">
        <v>511</v>
      </c>
      <c r="R62" s="73" t="s">
        <v>511</v>
      </c>
      <c r="S62" s="73" t="s">
        <v>511</v>
      </c>
      <c r="T62" s="73" t="s">
        <v>511</v>
      </c>
    </row>
    <row r="63" spans="1:20" s="5" customFormat="1" ht="12.75">
      <c r="A63" s="69" t="s">
        <v>149</v>
      </c>
      <c r="B63" s="70">
        <v>94</v>
      </c>
      <c r="C63" s="71" t="s">
        <v>510</v>
      </c>
      <c r="D63" s="80" t="s">
        <v>511</v>
      </c>
      <c r="E63" s="80" t="s">
        <v>511</v>
      </c>
      <c r="F63" s="73" t="s">
        <v>511</v>
      </c>
      <c r="G63" s="77" t="s">
        <v>511</v>
      </c>
      <c r="H63" s="81" t="s">
        <v>511</v>
      </c>
      <c r="I63" s="73" t="s">
        <v>511</v>
      </c>
      <c r="J63" s="73" t="s">
        <v>511</v>
      </c>
      <c r="K63" s="73" t="s">
        <v>511</v>
      </c>
      <c r="L63" s="73" t="s">
        <v>511</v>
      </c>
      <c r="M63" s="74">
        <v>1700</v>
      </c>
      <c r="N63" s="70">
        <v>94</v>
      </c>
      <c r="O63" s="99">
        <v>0.2</v>
      </c>
      <c r="P63" s="85">
        <v>0.014</v>
      </c>
      <c r="Q63" s="73" t="s">
        <v>511</v>
      </c>
      <c r="R63" s="73" t="s">
        <v>511</v>
      </c>
      <c r="S63" s="73" t="s">
        <v>511</v>
      </c>
      <c r="T63" s="73" t="s">
        <v>511</v>
      </c>
    </row>
    <row r="64" spans="1:20" s="5" customFormat="1" ht="12.75">
      <c r="A64" s="69" t="s">
        <v>180</v>
      </c>
      <c r="B64" s="70">
        <v>150</v>
      </c>
      <c r="C64" s="71" t="s">
        <v>510</v>
      </c>
      <c r="D64" s="80" t="s">
        <v>511</v>
      </c>
      <c r="E64" s="80" t="s">
        <v>511</v>
      </c>
      <c r="F64" s="73" t="s">
        <v>511</v>
      </c>
      <c r="G64" s="77" t="s">
        <v>511</v>
      </c>
      <c r="H64" s="81" t="s">
        <v>511</v>
      </c>
      <c r="I64" s="73" t="s">
        <v>511</v>
      </c>
      <c r="J64" s="73" t="s">
        <v>511</v>
      </c>
      <c r="K64" s="85">
        <v>340</v>
      </c>
      <c r="L64" s="85">
        <v>150</v>
      </c>
      <c r="M64" s="73" t="s">
        <v>511</v>
      </c>
      <c r="N64" s="73" t="s">
        <v>511</v>
      </c>
      <c r="O64" s="73" t="s">
        <v>511</v>
      </c>
      <c r="P64" s="73" t="s">
        <v>511</v>
      </c>
      <c r="Q64" s="99">
        <v>5</v>
      </c>
      <c r="R64" s="76" t="s">
        <v>511</v>
      </c>
      <c r="S64" s="73" t="s">
        <v>511</v>
      </c>
      <c r="T64" s="73" t="s">
        <v>511</v>
      </c>
    </row>
    <row r="65" spans="1:20" s="5" customFormat="1" ht="24">
      <c r="A65" s="69" t="s">
        <v>150</v>
      </c>
      <c r="B65" s="70">
        <v>150</v>
      </c>
      <c r="C65" s="71" t="s">
        <v>510</v>
      </c>
      <c r="D65" s="104">
        <v>340</v>
      </c>
      <c r="E65" s="104">
        <v>150</v>
      </c>
      <c r="F65" s="85">
        <v>340</v>
      </c>
      <c r="G65" s="70">
        <v>150</v>
      </c>
      <c r="H65" s="118" t="s">
        <v>151</v>
      </c>
      <c r="I65" s="85">
        <v>340</v>
      </c>
      <c r="J65" s="85">
        <v>150</v>
      </c>
      <c r="K65" s="85">
        <v>340</v>
      </c>
      <c r="L65" s="85">
        <v>150</v>
      </c>
      <c r="M65" s="73" t="s">
        <v>511</v>
      </c>
      <c r="N65" s="73" t="s">
        <v>511</v>
      </c>
      <c r="O65" s="73" t="s">
        <v>511</v>
      </c>
      <c r="P65" s="73" t="s">
        <v>511</v>
      </c>
      <c r="Q65" s="99">
        <v>5</v>
      </c>
      <c r="R65" s="76" t="s">
        <v>511</v>
      </c>
      <c r="S65" s="73" t="s">
        <v>511</v>
      </c>
      <c r="T65" s="73" t="s">
        <v>511</v>
      </c>
    </row>
    <row r="66" spans="1:20" s="5" customFormat="1" ht="12.75">
      <c r="A66" s="69" t="s">
        <v>152</v>
      </c>
      <c r="B66" s="70">
        <v>7.3</v>
      </c>
      <c r="C66" s="71" t="s">
        <v>510</v>
      </c>
      <c r="D66" s="72" t="s">
        <v>511</v>
      </c>
      <c r="E66" s="72" t="s">
        <v>511</v>
      </c>
      <c r="F66" s="73" t="s">
        <v>511</v>
      </c>
      <c r="G66" s="73" t="s">
        <v>511</v>
      </c>
      <c r="H66" s="73" t="s">
        <v>511</v>
      </c>
      <c r="I66" s="73" t="s">
        <v>511</v>
      </c>
      <c r="J66" s="73" t="s">
        <v>511</v>
      </c>
      <c r="K66" s="98">
        <v>50</v>
      </c>
      <c r="L66" s="95">
        <v>7.3</v>
      </c>
      <c r="M66" s="76" t="s">
        <v>511</v>
      </c>
      <c r="N66" s="76" t="s">
        <v>511</v>
      </c>
      <c r="O66" s="73">
        <v>360</v>
      </c>
      <c r="P66" s="73">
        <v>190</v>
      </c>
      <c r="Q66" s="99">
        <v>1.8</v>
      </c>
      <c r="R66" s="76" t="s">
        <v>511</v>
      </c>
      <c r="S66" s="79" t="s">
        <v>511</v>
      </c>
      <c r="T66" s="79" t="s">
        <v>511</v>
      </c>
    </row>
    <row r="67" spans="1:20" s="5" customFormat="1" ht="12.75">
      <c r="A67" s="69" t="s">
        <v>167</v>
      </c>
      <c r="B67" s="70">
        <v>0.005</v>
      </c>
      <c r="C67" s="71" t="s">
        <v>510</v>
      </c>
      <c r="D67" s="72" t="s">
        <v>511</v>
      </c>
      <c r="E67" s="72" t="s">
        <v>511</v>
      </c>
      <c r="F67" s="73" t="s">
        <v>511</v>
      </c>
      <c r="G67" s="73" t="s">
        <v>511</v>
      </c>
      <c r="H67" s="73" t="s">
        <v>511</v>
      </c>
      <c r="I67" s="73" t="s">
        <v>511</v>
      </c>
      <c r="J67" s="73" t="s">
        <v>511</v>
      </c>
      <c r="K67" s="73" t="s">
        <v>511</v>
      </c>
      <c r="L67" s="77" t="s">
        <v>511</v>
      </c>
      <c r="M67" s="73" t="s">
        <v>511</v>
      </c>
      <c r="N67" s="73" t="s">
        <v>511</v>
      </c>
      <c r="O67" s="73" t="s">
        <v>511</v>
      </c>
      <c r="P67" s="73" t="s">
        <v>511</v>
      </c>
      <c r="Q67" s="73" t="s">
        <v>511</v>
      </c>
      <c r="R67" s="73" t="s">
        <v>511</v>
      </c>
      <c r="S67" s="77" t="s">
        <v>511</v>
      </c>
      <c r="T67" s="116">
        <v>0.005</v>
      </c>
    </row>
    <row r="68" spans="1:20" s="5" customFormat="1" ht="12.75">
      <c r="A68" s="69" t="s">
        <v>168</v>
      </c>
      <c r="B68" s="95">
        <v>793.5773475768514</v>
      </c>
      <c r="C68" s="71" t="s">
        <v>510</v>
      </c>
      <c r="D68" s="72" t="s">
        <v>511</v>
      </c>
      <c r="E68" s="72" t="s">
        <v>511</v>
      </c>
      <c r="F68" s="73" t="s">
        <v>511</v>
      </c>
      <c r="G68" s="73" t="s">
        <v>511</v>
      </c>
      <c r="H68" s="73" t="s">
        <v>511</v>
      </c>
      <c r="I68" s="73" t="s">
        <v>511</v>
      </c>
      <c r="J68" s="73" t="s">
        <v>511</v>
      </c>
      <c r="K68" s="84">
        <f>EXP(1.0629*(LN(175))+2.2354)</f>
        <v>2264.3680937436848</v>
      </c>
      <c r="L68" s="95">
        <f>EXP(1.0629*(LN(175))+1.1869)</f>
        <v>793.5773475768514</v>
      </c>
      <c r="M68" s="85">
        <v>110</v>
      </c>
      <c r="N68" s="85">
        <v>4</v>
      </c>
      <c r="O68" s="73" t="s">
        <v>511</v>
      </c>
      <c r="P68" s="73" t="s">
        <v>511</v>
      </c>
      <c r="Q68" s="73" t="s">
        <v>511</v>
      </c>
      <c r="R68" s="73" t="s">
        <v>511</v>
      </c>
      <c r="S68" s="88" t="s">
        <v>511</v>
      </c>
      <c r="T68" s="88" t="s">
        <v>511</v>
      </c>
    </row>
    <row r="69" spans="1:20" s="5" customFormat="1" ht="12.75">
      <c r="A69" s="69" t="s">
        <v>169</v>
      </c>
      <c r="B69" s="70">
        <v>200</v>
      </c>
      <c r="C69" s="71" t="s">
        <v>510</v>
      </c>
      <c r="D69" s="80" t="s">
        <v>511</v>
      </c>
      <c r="E69" s="80" t="s">
        <v>511</v>
      </c>
      <c r="F69" s="73" t="s">
        <v>511</v>
      </c>
      <c r="G69" s="73" t="s">
        <v>511</v>
      </c>
      <c r="H69" s="81" t="s">
        <v>511</v>
      </c>
      <c r="I69" s="73" t="s">
        <v>511</v>
      </c>
      <c r="J69" s="73" t="s">
        <v>511</v>
      </c>
      <c r="K69" s="85">
        <v>890</v>
      </c>
      <c r="L69" s="70">
        <v>200</v>
      </c>
      <c r="M69" s="74">
        <v>2300</v>
      </c>
      <c r="N69" s="85">
        <v>130</v>
      </c>
      <c r="O69" s="85">
        <v>530</v>
      </c>
      <c r="P69" s="85">
        <v>53</v>
      </c>
      <c r="Q69" s="85">
        <v>370</v>
      </c>
      <c r="R69" s="73" t="s">
        <v>511</v>
      </c>
      <c r="S69" s="73" t="s">
        <v>511</v>
      </c>
      <c r="T69" s="73" t="s">
        <v>511</v>
      </c>
    </row>
    <row r="70" spans="1:20" s="5" customFormat="1" ht="12.75">
      <c r="A70" s="69" t="s">
        <v>170</v>
      </c>
      <c r="B70" s="70">
        <v>0.1</v>
      </c>
      <c r="C70" s="71" t="s">
        <v>510</v>
      </c>
      <c r="D70" s="80" t="s">
        <v>511</v>
      </c>
      <c r="E70" s="80" t="s">
        <v>511</v>
      </c>
      <c r="F70" s="73" t="s">
        <v>511</v>
      </c>
      <c r="G70" s="73" t="s">
        <v>511</v>
      </c>
      <c r="H70" s="81" t="s">
        <v>511</v>
      </c>
      <c r="I70" s="73" t="s">
        <v>511</v>
      </c>
      <c r="J70" s="73" t="s">
        <v>511</v>
      </c>
      <c r="K70" s="73" t="s">
        <v>511</v>
      </c>
      <c r="L70" s="73" t="s">
        <v>511</v>
      </c>
      <c r="M70" s="76" t="s">
        <v>511</v>
      </c>
      <c r="N70" s="76" t="s">
        <v>511</v>
      </c>
      <c r="O70" s="98">
        <v>250</v>
      </c>
      <c r="P70" s="98">
        <v>25</v>
      </c>
      <c r="Q70" s="76" t="s">
        <v>511</v>
      </c>
      <c r="R70" s="76" t="s">
        <v>511</v>
      </c>
      <c r="S70" s="99">
        <v>0.1</v>
      </c>
      <c r="T70" s="95">
        <v>0.1</v>
      </c>
    </row>
    <row r="71" spans="1:20" s="5" customFormat="1" ht="12.75">
      <c r="A71" s="69" t="s">
        <v>171</v>
      </c>
      <c r="B71" s="70">
        <v>0.027</v>
      </c>
      <c r="C71" s="71" t="s">
        <v>510</v>
      </c>
      <c r="D71" s="80" t="s">
        <v>511</v>
      </c>
      <c r="E71" s="80" t="s">
        <v>511</v>
      </c>
      <c r="F71" s="73" t="s">
        <v>511</v>
      </c>
      <c r="G71" s="73" t="s">
        <v>511</v>
      </c>
      <c r="H71" s="81" t="s">
        <v>511</v>
      </c>
      <c r="I71" s="73" t="s">
        <v>511</v>
      </c>
      <c r="J71" s="73" t="s">
        <v>511</v>
      </c>
      <c r="K71" s="73" t="s">
        <v>511</v>
      </c>
      <c r="L71" s="73" t="s">
        <v>511</v>
      </c>
      <c r="M71" s="110">
        <v>0.49</v>
      </c>
      <c r="N71" s="116">
        <v>0.027</v>
      </c>
      <c r="O71" s="88" t="s">
        <v>511</v>
      </c>
      <c r="P71" s="88" t="s">
        <v>511</v>
      </c>
      <c r="Q71" s="120">
        <v>0.018</v>
      </c>
      <c r="R71" s="109" t="s">
        <v>511</v>
      </c>
      <c r="S71" s="73" t="s">
        <v>511</v>
      </c>
      <c r="T71" s="73" t="s">
        <v>511</v>
      </c>
    </row>
    <row r="72" spans="1:20" s="5" customFormat="1" ht="12.75">
      <c r="A72" s="69" t="s">
        <v>172</v>
      </c>
      <c r="B72" s="70">
        <v>0.014</v>
      </c>
      <c r="C72" s="71" t="s">
        <v>510</v>
      </c>
      <c r="D72" s="80" t="s">
        <v>511</v>
      </c>
      <c r="E72" s="80" t="s">
        <v>511</v>
      </c>
      <c r="F72" s="73" t="s">
        <v>511</v>
      </c>
      <c r="G72" s="73" t="s">
        <v>511</v>
      </c>
      <c r="H72" s="81" t="s">
        <v>511</v>
      </c>
      <c r="I72" s="73" t="s">
        <v>511</v>
      </c>
      <c r="J72" s="73" t="s">
        <v>511</v>
      </c>
      <c r="K72" s="73" t="s">
        <v>511</v>
      </c>
      <c r="L72" s="73" t="s">
        <v>511</v>
      </c>
      <c r="M72" s="110">
        <v>0.24</v>
      </c>
      <c r="N72" s="116">
        <v>0.014</v>
      </c>
      <c r="O72" s="88" t="s">
        <v>511</v>
      </c>
      <c r="P72" s="88" t="s">
        <v>511</v>
      </c>
      <c r="Q72" s="120">
        <v>0.015</v>
      </c>
      <c r="R72" s="109" t="s">
        <v>511</v>
      </c>
      <c r="S72" s="73" t="s">
        <v>511</v>
      </c>
      <c r="T72" s="73" t="s">
        <v>511</v>
      </c>
    </row>
    <row r="73" spans="1:20" s="5" customFormat="1" ht="12.75">
      <c r="A73" s="69" t="s">
        <v>173</v>
      </c>
      <c r="B73" s="70">
        <v>8.6</v>
      </c>
      <c r="C73" s="71" t="s">
        <v>510</v>
      </c>
      <c r="D73" s="80" t="s">
        <v>511</v>
      </c>
      <c r="E73" s="80" t="s">
        <v>511</v>
      </c>
      <c r="F73" s="73" t="s">
        <v>511</v>
      </c>
      <c r="G73" s="73" t="s">
        <v>511</v>
      </c>
      <c r="H73" s="81" t="s">
        <v>511</v>
      </c>
      <c r="I73" s="73" t="s">
        <v>511</v>
      </c>
      <c r="J73" s="73" t="s">
        <v>511</v>
      </c>
      <c r="K73" s="73" t="s">
        <v>511</v>
      </c>
      <c r="L73" s="73" t="s">
        <v>511</v>
      </c>
      <c r="M73" s="98">
        <v>150</v>
      </c>
      <c r="N73" s="95">
        <v>8.6</v>
      </c>
      <c r="O73" s="88" t="s">
        <v>511</v>
      </c>
      <c r="P73" s="88" t="s">
        <v>511</v>
      </c>
      <c r="Q73" s="105" t="s">
        <v>511</v>
      </c>
      <c r="R73" s="105" t="s">
        <v>511</v>
      </c>
      <c r="S73" s="73" t="s">
        <v>511</v>
      </c>
      <c r="T73" s="73" t="s">
        <v>511</v>
      </c>
    </row>
    <row r="74" spans="1:20" s="5" customFormat="1" ht="12.75">
      <c r="A74" s="69" t="s">
        <v>192</v>
      </c>
      <c r="B74" s="70">
        <v>5.3</v>
      </c>
      <c r="C74" s="71" t="s">
        <v>510</v>
      </c>
      <c r="D74" s="80"/>
      <c r="E74" s="80"/>
      <c r="F74" s="73">
        <v>130</v>
      </c>
      <c r="G74" s="77">
        <v>5.3</v>
      </c>
      <c r="H74" s="118" t="s">
        <v>193</v>
      </c>
      <c r="I74" s="73" t="s">
        <v>511</v>
      </c>
      <c r="J74" s="73" t="s">
        <v>511</v>
      </c>
      <c r="K74" s="73" t="s">
        <v>511</v>
      </c>
      <c r="L74" s="73" t="s">
        <v>511</v>
      </c>
      <c r="M74" s="73" t="s">
        <v>511</v>
      </c>
      <c r="N74" s="73" t="s">
        <v>511</v>
      </c>
      <c r="O74" s="73" t="s">
        <v>511</v>
      </c>
      <c r="P74" s="73" t="s">
        <v>511</v>
      </c>
      <c r="Q74" s="73" t="s">
        <v>511</v>
      </c>
      <c r="R74" s="108" t="s">
        <v>511</v>
      </c>
      <c r="S74" s="73" t="s">
        <v>511</v>
      </c>
      <c r="T74" s="73" t="s">
        <v>511</v>
      </c>
    </row>
    <row r="75" spans="1:20" s="5" customFormat="1" ht="12.75">
      <c r="A75" s="69" t="s">
        <v>185</v>
      </c>
      <c r="B75" s="70">
        <v>5.3</v>
      </c>
      <c r="C75" s="71" t="s">
        <v>510</v>
      </c>
      <c r="D75" s="80" t="s">
        <v>511</v>
      </c>
      <c r="E75" s="80" t="s">
        <v>511</v>
      </c>
      <c r="F75" s="73">
        <v>130</v>
      </c>
      <c r="G75" s="95">
        <v>5.3</v>
      </c>
      <c r="H75" s="118" t="s">
        <v>136</v>
      </c>
      <c r="I75" s="73" t="s">
        <v>511</v>
      </c>
      <c r="J75" s="73" t="s">
        <v>511</v>
      </c>
      <c r="K75" s="110">
        <f>(EXP(2.5279*(LN(175))-8.572))</f>
        <v>88.59385189342487</v>
      </c>
      <c r="L75" s="110">
        <f>(EXP((2.5279*(LN(175))-10.7689)))</f>
        <v>9.846956901898183</v>
      </c>
      <c r="M75" s="98">
        <v>32</v>
      </c>
      <c r="N75" s="99">
        <v>0.66</v>
      </c>
      <c r="O75" s="88">
        <v>16</v>
      </c>
      <c r="P75" s="108">
        <v>0.53</v>
      </c>
      <c r="Q75" s="76" t="s">
        <v>511</v>
      </c>
      <c r="R75" s="76" t="s">
        <v>511</v>
      </c>
      <c r="S75" s="76" t="s">
        <v>511</v>
      </c>
      <c r="T75" s="76" t="s">
        <v>511</v>
      </c>
    </row>
    <row r="76" spans="1:20" s="5" customFormat="1" ht="12.75">
      <c r="A76" s="69" t="s">
        <v>174</v>
      </c>
      <c r="B76" s="77">
        <v>0.056</v>
      </c>
      <c r="C76" s="71" t="s">
        <v>510</v>
      </c>
      <c r="D76" s="104">
        <v>0.22</v>
      </c>
      <c r="E76" s="117">
        <v>0.056</v>
      </c>
      <c r="F76" s="108">
        <v>0.22</v>
      </c>
      <c r="G76" s="164">
        <v>0.056</v>
      </c>
      <c r="H76" s="106" t="s">
        <v>136</v>
      </c>
      <c r="I76" s="110">
        <v>0.22</v>
      </c>
      <c r="J76" s="116">
        <v>0.056</v>
      </c>
      <c r="K76" s="108" t="s">
        <v>511</v>
      </c>
      <c r="L76" s="108" t="s">
        <v>511</v>
      </c>
      <c r="M76" s="108" t="s">
        <v>511</v>
      </c>
      <c r="N76" s="108" t="s">
        <v>511</v>
      </c>
      <c r="O76" s="110">
        <v>0.22</v>
      </c>
      <c r="P76" s="120">
        <v>0.056</v>
      </c>
      <c r="Q76" s="108" t="s">
        <v>511</v>
      </c>
      <c r="R76" s="108" t="s">
        <v>511</v>
      </c>
      <c r="S76" s="108" t="s">
        <v>511</v>
      </c>
      <c r="T76" s="108" t="s">
        <v>511</v>
      </c>
    </row>
    <row r="77" spans="1:20" s="5" customFormat="1" ht="12.75">
      <c r="A77" s="69" t="s">
        <v>175</v>
      </c>
      <c r="B77" s="75">
        <v>2380</v>
      </c>
      <c r="C77" s="71" t="s">
        <v>510</v>
      </c>
      <c r="D77" s="80" t="s">
        <v>511</v>
      </c>
      <c r="E77" s="80" t="s">
        <v>511</v>
      </c>
      <c r="F77" s="73" t="s">
        <v>511</v>
      </c>
      <c r="G77" s="77" t="s">
        <v>511</v>
      </c>
      <c r="H77" s="81" t="s">
        <v>511</v>
      </c>
      <c r="I77" s="73" t="s">
        <v>511</v>
      </c>
      <c r="J77" s="73" t="s">
        <v>511</v>
      </c>
      <c r="K77" s="73" t="s">
        <v>511</v>
      </c>
      <c r="L77" s="73" t="s">
        <v>511</v>
      </c>
      <c r="M77" s="73" t="s">
        <v>511</v>
      </c>
      <c r="N77" s="73" t="s">
        <v>511</v>
      </c>
      <c r="O77" s="74">
        <v>23800</v>
      </c>
      <c r="P77" s="75">
        <v>2380</v>
      </c>
      <c r="Q77" s="73" t="s">
        <v>511</v>
      </c>
      <c r="R77" s="73" t="s">
        <v>511</v>
      </c>
      <c r="S77" s="73" t="s">
        <v>511</v>
      </c>
      <c r="T77" s="73" t="s">
        <v>511</v>
      </c>
    </row>
    <row r="78" spans="1:20" s="5" customFormat="1" ht="12.75">
      <c r="A78" s="69" t="s">
        <v>176</v>
      </c>
      <c r="B78" s="70">
        <v>4.6</v>
      </c>
      <c r="C78" s="71" t="s">
        <v>510</v>
      </c>
      <c r="D78" s="80" t="s">
        <v>511</v>
      </c>
      <c r="E78" s="80" t="s">
        <v>511</v>
      </c>
      <c r="F78" s="89" t="s">
        <v>511</v>
      </c>
      <c r="G78" s="89" t="s">
        <v>511</v>
      </c>
      <c r="H78" s="81" t="s">
        <v>511</v>
      </c>
      <c r="I78" s="73" t="s">
        <v>511</v>
      </c>
      <c r="J78" s="73" t="s">
        <v>511</v>
      </c>
      <c r="K78" s="98">
        <v>41</v>
      </c>
      <c r="L78" s="95">
        <v>4.6</v>
      </c>
      <c r="M78" s="108" t="s">
        <v>511</v>
      </c>
      <c r="N78" s="108" t="s">
        <v>511</v>
      </c>
      <c r="O78" s="108" t="s">
        <v>511</v>
      </c>
      <c r="P78" s="108" t="s">
        <v>511</v>
      </c>
      <c r="Q78" s="108" t="s">
        <v>511</v>
      </c>
      <c r="R78" s="108" t="s">
        <v>511</v>
      </c>
      <c r="S78" s="100" t="s">
        <v>511</v>
      </c>
      <c r="T78" s="100" t="s">
        <v>511</v>
      </c>
    </row>
    <row r="79" spans="1:20" s="5" customFormat="1" ht="12.75">
      <c r="A79" s="69" t="s">
        <v>533</v>
      </c>
      <c r="B79" s="70">
        <v>285</v>
      </c>
      <c r="C79" s="71" t="s">
        <v>510</v>
      </c>
      <c r="D79" s="80" t="s">
        <v>511</v>
      </c>
      <c r="E79" s="80" t="s">
        <v>511</v>
      </c>
      <c r="F79" s="89" t="s">
        <v>511</v>
      </c>
      <c r="G79" s="89" t="s">
        <v>511</v>
      </c>
      <c r="H79" s="81" t="s">
        <v>511</v>
      </c>
      <c r="I79" s="73" t="s">
        <v>511</v>
      </c>
      <c r="J79" s="73" t="s">
        <v>511</v>
      </c>
      <c r="K79" s="70">
        <v>285</v>
      </c>
      <c r="L79" s="73" t="s">
        <v>511</v>
      </c>
      <c r="M79" s="85">
        <v>27</v>
      </c>
      <c r="N79" s="85">
        <v>3</v>
      </c>
      <c r="O79" s="85">
        <v>1110</v>
      </c>
      <c r="P79" s="85" t="s">
        <v>534</v>
      </c>
      <c r="Q79" s="73">
        <v>16</v>
      </c>
      <c r="R79" s="73" t="s">
        <v>511</v>
      </c>
      <c r="S79" s="73" t="s">
        <v>511</v>
      </c>
      <c r="T79" s="73">
        <v>0.6</v>
      </c>
    </row>
    <row r="80" spans="1:20" s="5" customFormat="1" ht="12.75">
      <c r="A80" s="69" t="s">
        <v>535</v>
      </c>
      <c r="B80" s="75">
        <v>1900</v>
      </c>
      <c r="C80" s="71" t="s">
        <v>510</v>
      </c>
      <c r="D80" s="72" t="s">
        <v>511</v>
      </c>
      <c r="E80" s="72" t="s">
        <v>511</v>
      </c>
      <c r="F80" s="73" t="s">
        <v>511</v>
      </c>
      <c r="G80" s="73" t="s">
        <v>511</v>
      </c>
      <c r="H80" s="73" t="s">
        <v>511</v>
      </c>
      <c r="I80" s="73" t="s">
        <v>511</v>
      </c>
      <c r="J80" s="73" t="s">
        <v>511</v>
      </c>
      <c r="K80" s="74">
        <v>16000</v>
      </c>
      <c r="L80" s="75">
        <v>1900</v>
      </c>
      <c r="M80" s="85">
        <v>30</v>
      </c>
      <c r="N80" s="85">
        <v>1.6</v>
      </c>
      <c r="O80" s="73" t="s">
        <v>511</v>
      </c>
      <c r="P80" s="73">
        <v>750</v>
      </c>
      <c r="Q80" s="101" t="s">
        <v>511</v>
      </c>
      <c r="R80" s="101" t="s">
        <v>511</v>
      </c>
      <c r="S80" s="77" t="s">
        <v>511</v>
      </c>
      <c r="T80" s="77" t="s">
        <v>511</v>
      </c>
    </row>
    <row r="81" spans="1:20" s="5" customFormat="1" ht="12.75">
      <c r="A81" s="69" t="s">
        <v>536</v>
      </c>
      <c r="B81" s="70">
        <v>5</v>
      </c>
      <c r="C81" s="71" t="s">
        <v>510</v>
      </c>
      <c r="D81" s="72" t="s">
        <v>511</v>
      </c>
      <c r="E81" s="72" t="s">
        <v>511</v>
      </c>
      <c r="F81" s="73" t="s">
        <v>511</v>
      </c>
      <c r="G81" s="73" t="s">
        <v>511</v>
      </c>
      <c r="H81" s="73" t="s">
        <v>511</v>
      </c>
      <c r="I81" s="73" t="s">
        <v>511</v>
      </c>
      <c r="J81" s="73" t="s">
        <v>511</v>
      </c>
      <c r="K81" s="73" t="s">
        <v>511</v>
      </c>
      <c r="L81" s="73" t="s">
        <v>511</v>
      </c>
      <c r="M81" s="73" t="s">
        <v>511</v>
      </c>
      <c r="N81" s="73" t="s">
        <v>511</v>
      </c>
      <c r="O81" s="73" t="s">
        <v>511</v>
      </c>
      <c r="P81" s="73" t="s">
        <v>511</v>
      </c>
      <c r="Q81" s="95">
        <v>5</v>
      </c>
      <c r="R81" s="79" t="s">
        <v>511</v>
      </c>
      <c r="S81" s="73" t="s">
        <v>511</v>
      </c>
      <c r="T81" s="73" t="s">
        <v>511</v>
      </c>
    </row>
    <row r="82" spans="1:20" s="5" customFormat="1" ht="12.75">
      <c r="A82" s="92" t="s">
        <v>537</v>
      </c>
      <c r="B82" s="70">
        <v>320</v>
      </c>
      <c r="C82" s="71" t="s">
        <v>510</v>
      </c>
      <c r="D82" s="72" t="s">
        <v>511</v>
      </c>
      <c r="E82" s="72" t="s">
        <v>511</v>
      </c>
      <c r="F82" s="73" t="s">
        <v>511</v>
      </c>
      <c r="G82" s="73" t="s">
        <v>511</v>
      </c>
      <c r="H82" s="73" t="s">
        <v>511</v>
      </c>
      <c r="I82" s="73" t="s">
        <v>511</v>
      </c>
      <c r="J82" s="73" t="s">
        <v>511</v>
      </c>
      <c r="K82" s="78" t="s">
        <v>511</v>
      </c>
      <c r="L82" s="82" t="s">
        <v>511</v>
      </c>
      <c r="M82" s="78">
        <v>2300</v>
      </c>
      <c r="N82" s="70">
        <v>320</v>
      </c>
      <c r="O82" s="78">
        <v>2930</v>
      </c>
      <c r="P82" s="85">
        <v>293</v>
      </c>
      <c r="Q82" s="77" t="s">
        <v>511</v>
      </c>
      <c r="R82" s="77" t="s">
        <v>511</v>
      </c>
      <c r="S82" s="82" t="s">
        <v>511</v>
      </c>
      <c r="T82" s="82" t="s">
        <v>511</v>
      </c>
    </row>
    <row r="83" spans="1:20" s="6" customFormat="1" ht="12.75">
      <c r="A83" s="69" t="s">
        <v>538</v>
      </c>
      <c r="B83" s="77">
        <v>35</v>
      </c>
      <c r="C83" s="71" t="s">
        <v>510</v>
      </c>
      <c r="D83" s="72" t="s">
        <v>511</v>
      </c>
      <c r="E83" s="72" t="s">
        <v>511</v>
      </c>
      <c r="F83" s="89" t="s">
        <v>511</v>
      </c>
      <c r="G83" s="89" t="s">
        <v>511</v>
      </c>
      <c r="H83" s="73" t="s">
        <v>511</v>
      </c>
      <c r="I83" s="73" t="s">
        <v>511</v>
      </c>
      <c r="J83" s="73" t="s">
        <v>511</v>
      </c>
      <c r="K83" s="73">
        <v>320</v>
      </c>
      <c r="L83" s="77">
        <v>35</v>
      </c>
      <c r="M83" s="73" t="s">
        <v>511</v>
      </c>
      <c r="N83" s="73" t="s">
        <v>511</v>
      </c>
      <c r="O83" s="85">
        <v>1100</v>
      </c>
      <c r="P83" s="85">
        <v>110</v>
      </c>
      <c r="Q83" s="73" t="s">
        <v>511</v>
      </c>
      <c r="R83" s="101" t="s">
        <v>511</v>
      </c>
      <c r="S83" s="77" t="s">
        <v>511</v>
      </c>
      <c r="T83" s="77" t="s">
        <v>511</v>
      </c>
    </row>
    <row r="84" spans="1:20" s="5" customFormat="1" ht="12.75">
      <c r="A84" s="69" t="s">
        <v>181</v>
      </c>
      <c r="B84" s="95">
        <v>5</v>
      </c>
      <c r="C84" s="71" t="s">
        <v>510</v>
      </c>
      <c r="D84" s="72" t="s">
        <v>511</v>
      </c>
      <c r="E84" s="72" t="s">
        <v>511</v>
      </c>
      <c r="F84" s="73" t="s">
        <v>511</v>
      </c>
      <c r="G84" s="73" t="s">
        <v>511</v>
      </c>
      <c r="H84" s="73" t="s">
        <v>511</v>
      </c>
      <c r="I84" s="73" t="s">
        <v>511</v>
      </c>
      <c r="J84" s="73" t="s">
        <v>511</v>
      </c>
      <c r="K84" s="73" t="s">
        <v>511</v>
      </c>
      <c r="L84" s="73" t="s">
        <v>511</v>
      </c>
      <c r="M84" s="73" t="s">
        <v>511</v>
      </c>
      <c r="N84" s="73" t="s">
        <v>511</v>
      </c>
      <c r="O84" s="73" t="s">
        <v>511</v>
      </c>
      <c r="P84" s="73" t="s">
        <v>511</v>
      </c>
      <c r="Q84" s="122">
        <v>5</v>
      </c>
      <c r="R84" s="123" t="s">
        <v>511</v>
      </c>
      <c r="S84" s="73" t="s">
        <v>511</v>
      </c>
      <c r="T84" s="73" t="s">
        <v>511</v>
      </c>
    </row>
    <row r="85" spans="1:20" s="5" customFormat="1" ht="12.75">
      <c r="A85" s="69" t="s">
        <v>539</v>
      </c>
      <c r="B85" s="124">
        <v>0.36</v>
      </c>
      <c r="C85" s="71" t="s">
        <v>510</v>
      </c>
      <c r="D85" s="106">
        <v>3.469</v>
      </c>
      <c r="E85" s="117">
        <v>0.36</v>
      </c>
      <c r="F85" s="106">
        <v>3.666179912913644</v>
      </c>
      <c r="G85" s="106">
        <v>0.38426786599130147</v>
      </c>
      <c r="H85" s="118" t="s">
        <v>540</v>
      </c>
      <c r="I85" s="106">
        <f>(EXP(1.0166*(LN(175))-3.924))*(1.136672-(LN(175)*0.041838))</f>
        <v>3.468694837314741</v>
      </c>
      <c r="J85" s="106">
        <f>(EXP(0.7409*(LN(175))-4.719))*(1.101672-(LN(175)*0.041838))</f>
        <v>0.36279625761343254</v>
      </c>
      <c r="K85" s="110">
        <f>(EXP(1.128*(LN(175))-3.6867))*(1.136672-((LN(175))*(0.04184)))</f>
        <v>7.8179653277426375</v>
      </c>
      <c r="L85" s="110">
        <f>(EXP(0.7852*(LN(175))-2.715))*(1.101672-((LN(175))*(0.04184)))</f>
        <v>3.383377525325802</v>
      </c>
      <c r="M85" s="76" t="s">
        <v>511</v>
      </c>
      <c r="N85" s="76" t="s">
        <v>511</v>
      </c>
      <c r="O85" s="76" t="s">
        <v>511</v>
      </c>
      <c r="P85" s="76" t="s">
        <v>511</v>
      </c>
      <c r="Q85" s="76" t="s">
        <v>511</v>
      </c>
      <c r="R85" s="76" t="s">
        <v>511</v>
      </c>
      <c r="S85" s="76" t="s">
        <v>511</v>
      </c>
      <c r="T85" s="76" t="s">
        <v>511</v>
      </c>
    </row>
    <row r="86" spans="1:20" s="5" customFormat="1" ht="12.75">
      <c r="A86" s="69" t="s">
        <v>541</v>
      </c>
      <c r="B86" s="70">
        <v>0.41</v>
      </c>
      <c r="C86" s="71" t="s">
        <v>510</v>
      </c>
      <c r="D86" s="106">
        <f>(EXP(1.0166*(LN(175))-3.924))</f>
        <v>3.767913579561813</v>
      </c>
      <c r="E86" s="124">
        <f>(EXP(0.7409*LN(175)-4.719))</f>
        <v>0.40966723453230436</v>
      </c>
      <c r="F86" s="106">
        <v>3.767913579561813</v>
      </c>
      <c r="G86" s="121">
        <v>0.40966723453230436</v>
      </c>
      <c r="H86" s="118" t="s">
        <v>540</v>
      </c>
      <c r="I86" s="125">
        <f>(EXP(1.0166*(LN(175))-3.924))</f>
        <v>3.767913579561813</v>
      </c>
      <c r="J86" s="125">
        <f>(EXP(0.7409*(LN(175))-4.719))</f>
        <v>0.40966723453230436</v>
      </c>
      <c r="K86" s="99">
        <f>(EXP(1.128*(LN(175))-3.6867))</f>
        <v>8.492458875449607</v>
      </c>
      <c r="L86" s="99">
        <f>(EXP(0.7852*(LN(175))-2.715))</f>
        <v>3.820533019269568</v>
      </c>
      <c r="M86" s="73" t="s">
        <v>511</v>
      </c>
      <c r="N86" s="73" t="s">
        <v>511</v>
      </c>
      <c r="O86" s="73">
        <v>1.79</v>
      </c>
      <c r="P86" s="73">
        <v>0.66</v>
      </c>
      <c r="Q86" s="109">
        <v>0.017</v>
      </c>
      <c r="R86" s="109" t="s">
        <v>511</v>
      </c>
      <c r="S86" s="73" t="s">
        <v>511</v>
      </c>
      <c r="T86" s="73" t="s">
        <v>511</v>
      </c>
    </row>
    <row r="87" spans="1:20" s="5" customFormat="1" ht="12.75">
      <c r="A87" s="69" t="s">
        <v>542</v>
      </c>
      <c r="B87" s="77">
        <v>0.2</v>
      </c>
      <c r="C87" s="71" t="s">
        <v>510</v>
      </c>
      <c r="D87" s="72" t="s">
        <v>511</v>
      </c>
      <c r="E87" s="72" t="s">
        <v>511</v>
      </c>
      <c r="F87" s="73" t="s">
        <v>511</v>
      </c>
      <c r="G87" s="77" t="s">
        <v>511</v>
      </c>
      <c r="H87" s="73" t="s">
        <v>511</v>
      </c>
      <c r="I87" s="73" t="s">
        <v>511</v>
      </c>
      <c r="J87" s="73" t="s">
        <v>511</v>
      </c>
      <c r="K87" s="108" t="s">
        <v>511</v>
      </c>
      <c r="L87" s="76" t="s">
        <v>511</v>
      </c>
      <c r="M87" s="73" t="s">
        <v>511</v>
      </c>
      <c r="N87" s="73" t="s">
        <v>511</v>
      </c>
      <c r="O87" s="73" t="s">
        <v>511</v>
      </c>
      <c r="P87" s="73" t="s">
        <v>511</v>
      </c>
      <c r="Q87" s="77">
        <v>0.2</v>
      </c>
      <c r="R87" s="77" t="s">
        <v>511</v>
      </c>
      <c r="S87" s="76" t="s">
        <v>511</v>
      </c>
      <c r="T87" s="76" t="s">
        <v>511</v>
      </c>
    </row>
    <row r="88" spans="1:20" s="5" customFormat="1" ht="12.75">
      <c r="A88" s="69" t="s">
        <v>543</v>
      </c>
      <c r="B88" s="70">
        <v>1.8</v>
      </c>
      <c r="C88" s="71" t="s">
        <v>510</v>
      </c>
      <c r="D88" s="72" t="s">
        <v>511</v>
      </c>
      <c r="E88" s="72" t="s">
        <v>511</v>
      </c>
      <c r="F88" s="73" t="s">
        <v>511</v>
      </c>
      <c r="G88" s="77" t="s">
        <v>511</v>
      </c>
      <c r="H88" s="73" t="s">
        <v>511</v>
      </c>
      <c r="I88" s="73" t="s">
        <v>511</v>
      </c>
      <c r="J88" s="73" t="s">
        <v>511</v>
      </c>
      <c r="K88" s="108" t="s">
        <v>511</v>
      </c>
      <c r="L88" s="76" t="s">
        <v>511</v>
      </c>
      <c r="M88" s="73" t="s">
        <v>511</v>
      </c>
      <c r="N88" s="73" t="s">
        <v>511</v>
      </c>
      <c r="O88" s="73" t="s">
        <v>511</v>
      </c>
      <c r="P88" s="73" t="s">
        <v>511</v>
      </c>
      <c r="Q88" s="126">
        <v>1.8</v>
      </c>
      <c r="R88" s="123" t="s">
        <v>511</v>
      </c>
      <c r="S88" s="85">
        <v>10</v>
      </c>
      <c r="T88" s="70">
        <v>1</v>
      </c>
    </row>
    <row r="89" spans="1:20" s="5" customFormat="1" ht="24">
      <c r="A89" s="96" t="s">
        <v>177</v>
      </c>
      <c r="B89" s="60" t="s">
        <v>631</v>
      </c>
      <c r="C89" s="71" t="s">
        <v>510</v>
      </c>
      <c r="D89" s="72" t="s">
        <v>511</v>
      </c>
      <c r="E89" s="72" t="s">
        <v>511</v>
      </c>
      <c r="F89" s="89" t="s">
        <v>511</v>
      </c>
      <c r="G89" s="89" t="s">
        <v>511</v>
      </c>
      <c r="H89" s="73" t="s">
        <v>511</v>
      </c>
      <c r="I89" s="73" t="s">
        <v>511</v>
      </c>
      <c r="J89" s="73" t="s">
        <v>511</v>
      </c>
      <c r="K89" s="118">
        <v>800</v>
      </c>
      <c r="L89" s="60">
        <v>89</v>
      </c>
      <c r="M89" s="118">
        <v>180</v>
      </c>
      <c r="N89" s="118">
        <v>9.8</v>
      </c>
      <c r="O89" s="78">
        <v>3520</v>
      </c>
      <c r="P89" s="85">
        <v>352</v>
      </c>
      <c r="Q89" s="118">
        <v>13.3</v>
      </c>
      <c r="R89" s="81" t="s">
        <v>511</v>
      </c>
      <c r="S89" s="73" t="s">
        <v>511</v>
      </c>
      <c r="T89" s="73" t="s">
        <v>511</v>
      </c>
    </row>
    <row r="90" spans="1:21" s="8" customFormat="1" ht="48">
      <c r="A90" s="69" t="s">
        <v>544</v>
      </c>
      <c r="B90" s="70">
        <v>0.0043</v>
      </c>
      <c r="C90" s="71" t="s">
        <v>510</v>
      </c>
      <c r="D90" s="104">
        <v>2.4</v>
      </c>
      <c r="E90" s="104">
        <v>0.0043</v>
      </c>
      <c r="F90" s="99">
        <v>2.4</v>
      </c>
      <c r="G90" s="127">
        <v>0.0043</v>
      </c>
      <c r="H90" s="244" t="s">
        <v>807</v>
      </c>
      <c r="I90" s="120">
        <v>2.4</v>
      </c>
      <c r="J90" s="120">
        <v>0.0043</v>
      </c>
      <c r="K90" s="110">
        <v>0.27</v>
      </c>
      <c r="L90" s="85">
        <v>0.029</v>
      </c>
      <c r="M90" s="73" t="s">
        <v>511</v>
      </c>
      <c r="N90" s="73" t="s">
        <v>511</v>
      </c>
      <c r="O90" s="99">
        <v>2.4</v>
      </c>
      <c r="P90" s="127">
        <v>0.0043</v>
      </c>
      <c r="Q90" s="73" t="s">
        <v>511</v>
      </c>
      <c r="R90" s="73" t="s">
        <v>511</v>
      </c>
      <c r="S90" s="73" t="s">
        <v>511</v>
      </c>
      <c r="T90" s="73" t="s">
        <v>511</v>
      </c>
      <c r="U90" s="22"/>
    </row>
    <row r="91" spans="1:20" s="5" customFormat="1" ht="12.75">
      <c r="A91" s="69" t="s">
        <v>546</v>
      </c>
      <c r="B91" s="75">
        <v>230</v>
      </c>
      <c r="C91" s="71" t="s">
        <v>547</v>
      </c>
      <c r="D91" s="73" t="s">
        <v>511</v>
      </c>
      <c r="E91" s="80" t="s">
        <v>511</v>
      </c>
      <c r="F91" s="74">
        <v>860</v>
      </c>
      <c r="G91" s="75">
        <v>230</v>
      </c>
      <c r="H91" s="85" t="s">
        <v>193</v>
      </c>
      <c r="I91" s="74">
        <v>860</v>
      </c>
      <c r="J91" s="74">
        <v>230</v>
      </c>
      <c r="K91" s="78" t="s">
        <v>511</v>
      </c>
      <c r="L91" s="73" t="s">
        <v>511</v>
      </c>
      <c r="M91" s="73" t="s">
        <v>511</v>
      </c>
      <c r="N91" s="73" t="s">
        <v>511</v>
      </c>
      <c r="O91" s="74">
        <v>860</v>
      </c>
      <c r="P91" s="74">
        <v>230</v>
      </c>
      <c r="Q91" s="73" t="s">
        <v>511</v>
      </c>
      <c r="R91" s="73" t="s">
        <v>511</v>
      </c>
      <c r="S91" s="73" t="s">
        <v>511</v>
      </c>
      <c r="T91" s="73" t="s">
        <v>511</v>
      </c>
    </row>
    <row r="92" spans="1:20" s="5" customFormat="1" ht="24">
      <c r="A92" s="69" t="s">
        <v>548</v>
      </c>
      <c r="B92" s="70">
        <v>3</v>
      </c>
      <c r="C92" s="71" t="s">
        <v>547</v>
      </c>
      <c r="D92" s="104">
        <v>19</v>
      </c>
      <c r="E92" s="104">
        <v>11</v>
      </c>
      <c r="F92" s="98">
        <v>19</v>
      </c>
      <c r="G92" s="83">
        <v>3</v>
      </c>
      <c r="H92" s="118" t="s">
        <v>808</v>
      </c>
      <c r="I92" s="110">
        <v>19</v>
      </c>
      <c r="J92" s="110">
        <v>11</v>
      </c>
      <c r="K92" s="98">
        <v>19</v>
      </c>
      <c r="L92" s="108" t="s">
        <v>511</v>
      </c>
      <c r="M92" s="108" t="s">
        <v>511</v>
      </c>
      <c r="N92" s="108" t="s">
        <v>511</v>
      </c>
      <c r="O92" s="98">
        <v>19</v>
      </c>
      <c r="P92" s="98">
        <v>11</v>
      </c>
      <c r="Q92" s="108" t="s">
        <v>511</v>
      </c>
      <c r="R92" s="108" t="s">
        <v>511</v>
      </c>
      <c r="S92" s="108" t="s">
        <v>511</v>
      </c>
      <c r="T92" s="108" t="s">
        <v>511</v>
      </c>
    </row>
    <row r="93" spans="1:20" s="5" customFormat="1" ht="12.75">
      <c r="A93" s="69" t="s">
        <v>549</v>
      </c>
      <c r="B93" s="70">
        <v>47</v>
      </c>
      <c r="C93" s="71" t="s">
        <v>510</v>
      </c>
      <c r="D93" s="72" t="s">
        <v>511</v>
      </c>
      <c r="E93" s="72" t="s">
        <v>511</v>
      </c>
      <c r="F93" s="73" t="s">
        <v>511</v>
      </c>
      <c r="G93" s="73" t="s">
        <v>511</v>
      </c>
      <c r="H93" s="73" t="s">
        <v>511</v>
      </c>
      <c r="I93" s="73" t="s">
        <v>511</v>
      </c>
      <c r="J93" s="73" t="s">
        <v>511</v>
      </c>
      <c r="K93" s="85">
        <v>420</v>
      </c>
      <c r="L93" s="70">
        <v>47</v>
      </c>
      <c r="M93" s="74">
        <v>1100</v>
      </c>
      <c r="N93" s="85">
        <v>64</v>
      </c>
      <c r="O93" s="74">
        <v>1950</v>
      </c>
      <c r="P93" s="85">
        <v>195</v>
      </c>
      <c r="Q93" s="85">
        <v>1.3</v>
      </c>
      <c r="R93" s="73" t="s">
        <v>511</v>
      </c>
      <c r="S93" s="77" t="s">
        <v>511</v>
      </c>
      <c r="T93" s="85">
        <v>5</v>
      </c>
    </row>
    <row r="94" spans="1:20" s="5" customFormat="1" ht="12.75">
      <c r="A94" s="69" t="s">
        <v>550</v>
      </c>
      <c r="B94" s="75">
        <v>1100</v>
      </c>
      <c r="C94" s="71" t="s">
        <v>510</v>
      </c>
      <c r="D94" s="72" t="s">
        <v>511</v>
      </c>
      <c r="E94" s="72" t="s">
        <v>511</v>
      </c>
      <c r="F94" s="73" t="s">
        <v>511</v>
      </c>
      <c r="G94" s="73" t="s">
        <v>511</v>
      </c>
      <c r="H94" s="73" t="s">
        <v>511</v>
      </c>
      <c r="I94" s="73" t="s">
        <v>511</v>
      </c>
      <c r="J94" s="73" t="s">
        <v>511</v>
      </c>
      <c r="K94" s="74">
        <v>10000</v>
      </c>
      <c r="L94" s="75">
        <v>1100</v>
      </c>
      <c r="M94" s="73" t="s">
        <v>511</v>
      </c>
      <c r="N94" s="73" t="s">
        <v>511</v>
      </c>
      <c r="O94" s="73" t="s">
        <v>511</v>
      </c>
      <c r="P94" s="73" t="s">
        <v>511</v>
      </c>
      <c r="Q94" s="73" t="s">
        <v>511</v>
      </c>
      <c r="R94" s="73" t="s">
        <v>511</v>
      </c>
      <c r="S94" s="77" t="s">
        <v>511</v>
      </c>
      <c r="T94" s="77" t="s">
        <v>511</v>
      </c>
    </row>
    <row r="95" spans="1:20" s="5" customFormat="1" ht="12.75">
      <c r="A95" s="92" t="s">
        <v>551</v>
      </c>
      <c r="B95" s="70">
        <v>170</v>
      </c>
      <c r="C95" s="71" t="s">
        <v>510</v>
      </c>
      <c r="D95" s="72" t="s">
        <v>511</v>
      </c>
      <c r="E95" s="72" t="s">
        <v>511</v>
      </c>
      <c r="F95" s="73" t="s">
        <v>511</v>
      </c>
      <c r="G95" s="73" t="s">
        <v>511</v>
      </c>
      <c r="H95" s="73" t="s">
        <v>511</v>
      </c>
      <c r="I95" s="73" t="s">
        <v>511</v>
      </c>
      <c r="J95" s="73" t="s">
        <v>511</v>
      </c>
      <c r="K95" s="74">
        <v>1300</v>
      </c>
      <c r="L95" s="70">
        <v>170</v>
      </c>
      <c r="M95" s="85">
        <v>490</v>
      </c>
      <c r="N95" s="85">
        <v>28</v>
      </c>
      <c r="O95" s="78">
        <v>2890</v>
      </c>
      <c r="P95" s="85">
        <v>289</v>
      </c>
      <c r="Q95" s="85">
        <v>1.8</v>
      </c>
      <c r="R95" s="73" t="s">
        <v>511</v>
      </c>
      <c r="S95" s="73" t="s">
        <v>511</v>
      </c>
      <c r="T95" s="73" t="s">
        <v>511</v>
      </c>
    </row>
    <row r="96" spans="1:20" s="6" customFormat="1" ht="12.75">
      <c r="A96" s="69" t="s">
        <v>552</v>
      </c>
      <c r="B96" s="75">
        <v>5500</v>
      </c>
      <c r="C96" s="71" t="s">
        <v>510</v>
      </c>
      <c r="D96" s="72" t="s">
        <v>511</v>
      </c>
      <c r="E96" s="72" t="s">
        <v>511</v>
      </c>
      <c r="F96" s="73" t="s">
        <v>511</v>
      </c>
      <c r="G96" s="73" t="s">
        <v>511</v>
      </c>
      <c r="H96" s="73" t="s">
        <v>511</v>
      </c>
      <c r="I96" s="73" t="s">
        <v>511</v>
      </c>
      <c r="J96" s="73" t="s">
        <v>511</v>
      </c>
      <c r="K96" s="73" t="s">
        <v>511</v>
      </c>
      <c r="L96" s="77" t="s">
        <v>511</v>
      </c>
      <c r="M96" s="73" t="s">
        <v>511</v>
      </c>
      <c r="N96" s="73" t="s">
        <v>511</v>
      </c>
      <c r="O96" s="74">
        <v>55000</v>
      </c>
      <c r="P96" s="75">
        <v>5500</v>
      </c>
      <c r="Q96" s="73" t="s">
        <v>511</v>
      </c>
      <c r="R96" s="73" t="s">
        <v>511</v>
      </c>
      <c r="S96" s="77" t="s">
        <v>511</v>
      </c>
      <c r="T96" s="77" t="s">
        <v>511</v>
      </c>
    </row>
    <row r="97" spans="1:20" s="5" customFormat="1" ht="12.75">
      <c r="A97" s="69" t="s">
        <v>553</v>
      </c>
      <c r="B97" s="70">
        <v>0.18</v>
      </c>
      <c r="C97" s="71" t="s">
        <v>510</v>
      </c>
      <c r="D97" s="72" t="s">
        <v>511</v>
      </c>
      <c r="E97" s="72" t="s">
        <v>511</v>
      </c>
      <c r="F97" s="73" t="s">
        <v>511</v>
      </c>
      <c r="G97" s="73" t="s">
        <v>511</v>
      </c>
      <c r="H97" s="73" t="s">
        <v>511</v>
      </c>
      <c r="I97" s="73" t="s">
        <v>511</v>
      </c>
      <c r="J97" s="73" t="s">
        <v>511</v>
      </c>
      <c r="K97" s="73" t="s">
        <v>511</v>
      </c>
      <c r="L97" s="73" t="s">
        <v>511</v>
      </c>
      <c r="M97" s="73" t="s">
        <v>511</v>
      </c>
      <c r="N97" s="73" t="s">
        <v>511</v>
      </c>
      <c r="O97" s="73" t="s">
        <v>511</v>
      </c>
      <c r="P97" s="73" t="s">
        <v>511</v>
      </c>
      <c r="Q97" s="70">
        <v>0.18</v>
      </c>
      <c r="R97" s="77" t="s">
        <v>511</v>
      </c>
      <c r="S97" s="73" t="s">
        <v>511</v>
      </c>
      <c r="T97" s="73" t="s">
        <v>511</v>
      </c>
    </row>
    <row r="98" spans="1:20" s="5" customFormat="1" ht="48">
      <c r="A98" s="69" t="s">
        <v>554</v>
      </c>
      <c r="B98" s="70">
        <v>0.041</v>
      </c>
      <c r="C98" s="71" t="s">
        <v>510</v>
      </c>
      <c r="D98" s="80" t="s">
        <v>511</v>
      </c>
      <c r="E98" s="80" t="s">
        <v>511</v>
      </c>
      <c r="F98" s="85">
        <v>0.083</v>
      </c>
      <c r="G98" s="70">
        <v>0.041</v>
      </c>
      <c r="H98" s="118" t="s">
        <v>194</v>
      </c>
      <c r="I98" s="85">
        <v>0.083</v>
      </c>
      <c r="J98" s="73">
        <v>0.041</v>
      </c>
      <c r="K98" s="85">
        <v>0.027</v>
      </c>
      <c r="L98" s="85">
        <v>0.002</v>
      </c>
      <c r="M98" s="101" t="s">
        <v>511</v>
      </c>
      <c r="N98" s="101" t="s">
        <v>511</v>
      </c>
      <c r="O98" s="85">
        <v>0.083</v>
      </c>
      <c r="P98" s="85">
        <v>0.041</v>
      </c>
      <c r="Q98" s="85">
        <v>0.0035</v>
      </c>
      <c r="R98" s="73" t="s">
        <v>511</v>
      </c>
      <c r="S98" s="73" t="s">
        <v>511</v>
      </c>
      <c r="T98" s="101" t="s">
        <v>511</v>
      </c>
    </row>
    <row r="99" spans="1:20" s="5" customFormat="1" ht="12.75">
      <c r="A99" s="69" t="s">
        <v>555</v>
      </c>
      <c r="B99" s="128">
        <f>EXP(0.819*(LN(175))+0.6848)*(0.86)</f>
        <v>117.20643982067782</v>
      </c>
      <c r="C99" s="71" t="s">
        <v>510</v>
      </c>
      <c r="D99" s="125">
        <f>EXP(0.819*(LN(175))+3.7256)*(0.316)</f>
        <v>901.0372928372184</v>
      </c>
      <c r="E99" s="128">
        <f>EXP(0.819*(LN(175))+0.6848)*(0.86)</f>
        <v>117.20643982067782</v>
      </c>
      <c r="F99" s="74">
        <f>EXP(0.819*(LN(175))+3.7256)*(0.316)</f>
        <v>901.0372928372184</v>
      </c>
      <c r="G99" s="128">
        <f>EXP(0.819*(LN(175))+0.6848)*(0.86)</f>
        <v>117.20643982067782</v>
      </c>
      <c r="H99" s="118" t="s">
        <v>540</v>
      </c>
      <c r="I99" s="73" t="s">
        <v>511</v>
      </c>
      <c r="J99" s="101" t="s">
        <v>511</v>
      </c>
      <c r="K99" s="74">
        <f>(EXP(0.819*(LN(175))+3.7256))*0.316</f>
        <v>901.0372928372184</v>
      </c>
      <c r="L99" s="99">
        <f>(EXP(0.819*(LN(175))+0.6848))*0.86</f>
        <v>117.20643982067782</v>
      </c>
      <c r="M99" s="73" t="s">
        <v>511</v>
      </c>
      <c r="N99" s="73" t="s">
        <v>511</v>
      </c>
      <c r="O99" s="73" t="s">
        <v>511</v>
      </c>
      <c r="P99" s="73" t="s">
        <v>511</v>
      </c>
      <c r="Q99" s="73" t="s">
        <v>511</v>
      </c>
      <c r="R99" s="76" t="s">
        <v>511</v>
      </c>
      <c r="S99" s="88" t="s">
        <v>511</v>
      </c>
      <c r="T99" s="88" t="s">
        <v>511</v>
      </c>
    </row>
    <row r="100" spans="1:20" s="5" customFormat="1" ht="12.75">
      <c r="A100" s="69" t="s">
        <v>556</v>
      </c>
      <c r="B100" s="95">
        <f>G100</f>
        <v>136.28655793102072</v>
      </c>
      <c r="C100" s="71" t="s">
        <v>510</v>
      </c>
      <c r="D100" s="99">
        <f>EXP(0.819*(LN(175))+3.7256)</f>
        <v>2851.383838092463</v>
      </c>
      <c r="E100" s="95">
        <f>EXP(0.819*(LN(175))+0.6848)</f>
        <v>136.28655793102072</v>
      </c>
      <c r="F100" s="99">
        <f>EXP(0.819*(LN(175))+3.7256)</f>
        <v>2851.383838092463</v>
      </c>
      <c r="G100" s="95">
        <f>EXP(0.819*(LN(175))+0.6848)</f>
        <v>136.28655793102072</v>
      </c>
      <c r="H100" s="118" t="s">
        <v>540</v>
      </c>
      <c r="I100" s="73" t="s">
        <v>511</v>
      </c>
      <c r="J100" s="73" t="s">
        <v>511</v>
      </c>
      <c r="K100" s="99">
        <f>(EXP(0.819*(LN(175))+3.7256))</f>
        <v>2851.383838092463</v>
      </c>
      <c r="L100" s="99">
        <f>(EXP(0.819*(LN(175))+0.6848))</f>
        <v>136.28655793102072</v>
      </c>
      <c r="M100" s="73" t="s">
        <v>511</v>
      </c>
      <c r="N100" s="73" t="s">
        <v>511</v>
      </c>
      <c r="O100" s="73" t="s">
        <v>511</v>
      </c>
      <c r="P100" s="73" t="s">
        <v>511</v>
      </c>
      <c r="Q100" s="73" t="s">
        <v>511</v>
      </c>
      <c r="R100" s="73" t="s">
        <v>511</v>
      </c>
      <c r="S100" s="73" t="s">
        <v>511</v>
      </c>
      <c r="T100" s="73" t="s">
        <v>511</v>
      </c>
    </row>
    <row r="101" spans="1:20" s="5" customFormat="1" ht="24">
      <c r="A101" s="69" t="s">
        <v>189</v>
      </c>
      <c r="B101" s="100">
        <v>59.68336686281603</v>
      </c>
      <c r="C101" s="71" t="s">
        <v>510</v>
      </c>
      <c r="D101" s="80" t="s">
        <v>511</v>
      </c>
      <c r="E101" s="80" t="s">
        <v>511</v>
      </c>
      <c r="F101" s="74">
        <f>EXP(0.819*(LN(175))+3.7256)*(0.316)</f>
        <v>901.0372928372184</v>
      </c>
      <c r="G101" s="125">
        <f>EXP(0.819*(LN(175))+0.6848)*(0.86)</f>
        <v>117.20643982067782</v>
      </c>
      <c r="H101" s="118" t="s">
        <v>191</v>
      </c>
      <c r="I101" s="108">
        <v>901.0365741310935</v>
      </c>
      <c r="J101" s="100">
        <v>59.68336686281603</v>
      </c>
      <c r="K101" s="80" t="s">
        <v>511</v>
      </c>
      <c r="L101" s="80" t="s">
        <v>511</v>
      </c>
      <c r="M101" s="80" t="s">
        <v>511</v>
      </c>
      <c r="N101" s="80" t="s">
        <v>511</v>
      </c>
      <c r="O101" s="80" t="s">
        <v>511</v>
      </c>
      <c r="P101" s="80" t="s">
        <v>511</v>
      </c>
      <c r="Q101" s="80" t="s">
        <v>511</v>
      </c>
      <c r="R101" s="73" t="s">
        <v>511</v>
      </c>
      <c r="S101" s="80" t="s">
        <v>511</v>
      </c>
      <c r="T101" s="80" t="s">
        <v>511</v>
      </c>
    </row>
    <row r="102" spans="1:20" s="21" customFormat="1" ht="12.75">
      <c r="A102" s="69" t="s">
        <v>187</v>
      </c>
      <c r="B102" s="121">
        <v>69.4</v>
      </c>
      <c r="C102" s="71" t="s">
        <v>510</v>
      </c>
      <c r="D102" s="80" t="s">
        <v>511</v>
      </c>
      <c r="E102" s="80" t="s">
        <v>511</v>
      </c>
      <c r="F102" s="76" t="s">
        <v>511</v>
      </c>
      <c r="G102" s="76" t="s">
        <v>511</v>
      </c>
      <c r="H102" s="76" t="s">
        <v>511</v>
      </c>
      <c r="I102" s="108">
        <v>2851.381563705992</v>
      </c>
      <c r="J102" s="100">
        <v>69.39926379397212</v>
      </c>
      <c r="K102" s="80" t="s">
        <v>511</v>
      </c>
      <c r="L102" s="80" t="s">
        <v>511</v>
      </c>
      <c r="M102" s="80" t="s">
        <v>511</v>
      </c>
      <c r="N102" s="80" t="s">
        <v>511</v>
      </c>
      <c r="O102" s="80" t="s">
        <v>511</v>
      </c>
      <c r="P102" s="80" t="s">
        <v>511</v>
      </c>
      <c r="Q102" s="80" t="s">
        <v>511</v>
      </c>
      <c r="R102" s="73" t="s">
        <v>511</v>
      </c>
      <c r="S102" s="80" t="s">
        <v>511</v>
      </c>
      <c r="T102" s="80" t="s">
        <v>511</v>
      </c>
    </row>
    <row r="103" spans="1:20" s="5" customFormat="1" ht="24">
      <c r="A103" s="69" t="s">
        <v>190</v>
      </c>
      <c r="B103" s="70">
        <v>10.58</v>
      </c>
      <c r="C103" s="71" t="s">
        <v>510</v>
      </c>
      <c r="D103" s="80" t="s">
        <v>511</v>
      </c>
      <c r="E103" s="80" t="s">
        <v>511</v>
      </c>
      <c r="F103" s="110">
        <v>15.71</v>
      </c>
      <c r="G103" s="121">
        <v>10.58</v>
      </c>
      <c r="H103" s="118" t="s">
        <v>191</v>
      </c>
      <c r="I103" s="73">
        <v>16</v>
      </c>
      <c r="J103" s="73">
        <v>11</v>
      </c>
      <c r="K103" s="80" t="s">
        <v>511</v>
      </c>
      <c r="L103" s="80" t="s">
        <v>511</v>
      </c>
      <c r="M103" s="80" t="s">
        <v>511</v>
      </c>
      <c r="N103" s="80" t="s">
        <v>511</v>
      </c>
      <c r="O103" s="80" t="s">
        <v>511</v>
      </c>
      <c r="P103" s="80" t="s">
        <v>511</v>
      </c>
      <c r="Q103" s="80" t="s">
        <v>511</v>
      </c>
      <c r="R103" s="73" t="s">
        <v>511</v>
      </c>
      <c r="S103" s="80" t="s">
        <v>511</v>
      </c>
      <c r="T103" s="80" t="s">
        <v>511</v>
      </c>
    </row>
    <row r="104" spans="1:20" s="21" customFormat="1" ht="12.75">
      <c r="A104" s="69" t="s">
        <v>188</v>
      </c>
      <c r="B104" s="121">
        <v>11.2</v>
      </c>
      <c r="C104" s="71" t="s">
        <v>510</v>
      </c>
      <c r="D104" s="80" t="s">
        <v>511</v>
      </c>
      <c r="E104" s="80" t="s">
        <v>511</v>
      </c>
      <c r="F104" s="80" t="s">
        <v>511</v>
      </c>
      <c r="G104" s="80" t="s">
        <v>511</v>
      </c>
      <c r="H104" s="118"/>
      <c r="I104" s="110">
        <f>16/0.982</f>
        <v>16.293279022403258</v>
      </c>
      <c r="J104" s="121">
        <f>11/0.982</f>
        <v>11.201629327902241</v>
      </c>
      <c r="K104" s="80" t="s">
        <v>511</v>
      </c>
      <c r="L104" s="80" t="s">
        <v>511</v>
      </c>
      <c r="M104" s="80" t="s">
        <v>511</v>
      </c>
      <c r="N104" s="80" t="s">
        <v>511</v>
      </c>
      <c r="O104" s="80" t="s">
        <v>511</v>
      </c>
      <c r="P104" s="80" t="s">
        <v>511</v>
      </c>
      <c r="Q104" s="80" t="s">
        <v>511</v>
      </c>
      <c r="R104" s="73" t="s">
        <v>511</v>
      </c>
      <c r="S104" s="80" t="s">
        <v>511</v>
      </c>
      <c r="T104" s="80" t="s">
        <v>511</v>
      </c>
    </row>
    <row r="105" spans="1:20" s="5" customFormat="1" ht="12.75">
      <c r="A105" s="69" t="s">
        <v>557</v>
      </c>
      <c r="B105" s="70">
        <v>620</v>
      </c>
      <c r="C105" s="71" t="s">
        <v>510</v>
      </c>
      <c r="D105" s="80" t="s">
        <v>511</v>
      </c>
      <c r="E105" s="80" t="s">
        <v>511</v>
      </c>
      <c r="F105" s="73" t="s">
        <v>511</v>
      </c>
      <c r="G105" s="73" t="s">
        <v>511</v>
      </c>
      <c r="H105" s="73" t="s">
        <v>511</v>
      </c>
      <c r="I105" s="73" t="s">
        <v>511</v>
      </c>
      <c r="J105" s="73" t="s">
        <v>511</v>
      </c>
      <c r="K105" s="74">
        <v>5500</v>
      </c>
      <c r="L105" s="70">
        <v>620</v>
      </c>
      <c r="M105" s="73" t="s">
        <v>511</v>
      </c>
      <c r="N105" s="73" t="s">
        <v>511</v>
      </c>
      <c r="O105" s="73" t="s">
        <v>511</v>
      </c>
      <c r="P105" s="73" t="s">
        <v>511</v>
      </c>
      <c r="Q105" s="73" t="s">
        <v>511</v>
      </c>
      <c r="R105" s="73" t="s">
        <v>511</v>
      </c>
      <c r="S105" s="77" t="s">
        <v>511</v>
      </c>
      <c r="T105" s="77" t="s">
        <v>511</v>
      </c>
    </row>
    <row r="106" spans="1:20" s="5" customFormat="1" ht="12.75">
      <c r="A106" s="69" t="s">
        <v>558</v>
      </c>
      <c r="B106" s="70">
        <v>100</v>
      </c>
      <c r="C106" s="71" t="s">
        <v>510</v>
      </c>
      <c r="D106" s="72" t="s">
        <v>511</v>
      </c>
      <c r="E106" s="72" t="s">
        <v>511</v>
      </c>
      <c r="F106" s="73" t="s">
        <v>511</v>
      </c>
      <c r="G106" s="73" t="s">
        <v>511</v>
      </c>
      <c r="H106" s="73" t="s">
        <v>511</v>
      </c>
      <c r="I106" s="73" t="s">
        <v>511</v>
      </c>
      <c r="J106" s="73" t="s">
        <v>511</v>
      </c>
      <c r="K106" s="98">
        <v>370</v>
      </c>
      <c r="L106" s="83">
        <v>100</v>
      </c>
      <c r="M106" s="74">
        <v>1500</v>
      </c>
      <c r="N106" s="98">
        <v>23</v>
      </c>
      <c r="O106" s="73" t="s">
        <v>511</v>
      </c>
      <c r="P106" s="73" t="s">
        <v>511</v>
      </c>
      <c r="Q106" s="73" t="s">
        <v>511</v>
      </c>
      <c r="R106" s="73" t="s">
        <v>511</v>
      </c>
      <c r="S106" s="79" t="s">
        <v>511</v>
      </c>
      <c r="T106" s="79" t="s">
        <v>511</v>
      </c>
    </row>
    <row r="107" spans="1:20" s="5" customFormat="1" ht="36">
      <c r="A107" s="69" t="s">
        <v>559</v>
      </c>
      <c r="B107" s="124">
        <f>EXP(0.8545*(LN(175))-1.702)*0.96</f>
        <v>14.447012130430716</v>
      </c>
      <c r="C107" s="71" t="s">
        <v>510</v>
      </c>
      <c r="D107" s="106">
        <f>EXP(0.9422*(LN(175))-1.7)*0.96</f>
        <v>22.769896852926742</v>
      </c>
      <c r="E107" s="124">
        <f>EXP(0.8545*(LN(175))-1.702)*0.96</f>
        <v>14.447012130430716</v>
      </c>
      <c r="F107" s="106">
        <f>EXP(0.9422*(LN(175))-1.7)*0.96</f>
        <v>22.769896852926742</v>
      </c>
      <c r="G107" s="124">
        <f>EXP(0.8545*(LN(175))-1.702)*0.96</f>
        <v>14.447012130430716</v>
      </c>
      <c r="H107" s="118" t="s">
        <v>560</v>
      </c>
      <c r="I107" s="106">
        <f>EXP(0.9422*(LN(175))-1.7)*0.96</f>
        <v>22.769896852926742</v>
      </c>
      <c r="J107" s="106">
        <f>EXP(0.8545*(LN(175))-1.702)*0.96</f>
        <v>14.447012130430716</v>
      </c>
      <c r="K107" s="110">
        <f>(EXP(0.9422*(LN(175))-1.7))*0.96</f>
        <v>22.769896852926742</v>
      </c>
      <c r="L107" s="110">
        <f>(EXP(0.8545*(LN(175))-1.702))*0.96</f>
        <v>14.447012130430716</v>
      </c>
      <c r="M107" s="108" t="s">
        <v>511</v>
      </c>
      <c r="N107" s="108" t="s">
        <v>511</v>
      </c>
      <c r="O107" s="108" t="s">
        <v>511</v>
      </c>
      <c r="P107" s="108" t="s">
        <v>511</v>
      </c>
      <c r="Q107" s="108" t="s">
        <v>511</v>
      </c>
      <c r="R107" s="108" t="s">
        <v>511</v>
      </c>
      <c r="S107" s="108" t="s">
        <v>511</v>
      </c>
      <c r="T107" s="108" t="s">
        <v>511</v>
      </c>
    </row>
    <row r="108" spans="1:20" s="5" customFormat="1" ht="12.75">
      <c r="A108" s="69" t="s">
        <v>561</v>
      </c>
      <c r="B108" s="124">
        <v>15.05</v>
      </c>
      <c r="C108" s="71" t="s">
        <v>510</v>
      </c>
      <c r="D108" s="106">
        <f>EXP(0.9422*(LN(175))-1.7)</f>
        <v>23.718642555132025</v>
      </c>
      <c r="E108" s="124">
        <f>EXP(0.8545*(LN(175))-1.702)</f>
        <v>15.048970969198663</v>
      </c>
      <c r="F108" s="106">
        <f>EXP(0.9422*(LN(175))-1.7)</f>
        <v>23.718642555132025</v>
      </c>
      <c r="G108" s="124">
        <f>EXP(0.8545*(LN(175))-1.702)</f>
        <v>15.048970969198663</v>
      </c>
      <c r="H108" s="85" t="s">
        <v>540</v>
      </c>
      <c r="I108" s="106">
        <f>EXP(0.9422*(LN(175))-1.7)</f>
        <v>23.718642555132025</v>
      </c>
      <c r="J108" s="106">
        <f>EXP(0.8545*(LN(175))-1.702)</f>
        <v>15.048970969198663</v>
      </c>
      <c r="K108" s="110">
        <f>(EXP(0.9422*(LN(175))-1.7))</f>
        <v>23.718642555132025</v>
      </c>
      <c r="L108" s="110">
        <f>(EXP(0.8545*(LN(175))-1.702))</f>
        <v>15.048970969198663</v>
      </c>
      <c r="M108" s="108" t="s">
        <v>511</v>
      </c>
      <c r="N108" s="108" t="s">
        <v>511</v>
      </c>
      <c r="O108" s="108">
        <v>9.22</v>
      </c>
      <c r="P108" s="108">
        <v>6.54</v>
      </c>
      <c r="Q108" s="108" t="s">
        <v>511</v>
      </c>
      <c r="R108" s="108" t="s">
        <v>511</v>
      </c>
      <c r="S108" s="100" t="s">
        <v>511</v>
      </c>
      <c r="T108" s="100" t="s">
        <v>511</v>
      </c>
    </row>
    <row r="109" spans="1:20" s="5" customFormat="1" ht="12.75">
      <c r="A109" s="69" t="s">
        <v>562</v>
      </c>
      <c r="B109" s="70">
        <v>5.2</v>
      </c>
      <c r="C109" s="71" t="s">
        <v>510</v>
      </c>
      <c r="D109" s="80" t="s">
        <v>511</v>
      </c>
      <c r="E109" s="80" t="s">
        <v>511</v>
      </c>
      <c r="F109" s="98">
        <v>22</v>
      </c>
      <c r="G109" s="95">
        <v>5.2</v>
      </c>
      <c r="H109" s="165" t="s">
        <v>563</v>
      </c>
      <c r="I109" s="98">
        <v>22</v>
      </c>
      <c r="J109" s="99">
        <v>5.2</v>
      </c>
      <c r="K109" s="98">
        <v>22</v>
      </c>
      <c r="L109" s="99">
        <v>5.2</v>
      </c>
      <c r="M109" s="108" t="s">
        <v>511</v>
      </c>
      <c r="N109" s="108" t="s">
        <v>511</v>
      </c>
      <c r="O109" s="98">
        <v>22</v>
      </c>
      <c r="P109" s="99">
        <v>5.2</v>
      </c>
      <c r="Q109" s="98">
        <v>5</v>
      </c>
      <c r="R109" s="88" t="s">
        <v>511</v>
      </c>
      <c r="S109" s="108" t="s">
        <v>511</v>
      </c>
      <c r="T109" s="108" t="s">
        <v>511</v>
      </c>
    </row>
    <row r="110" spans="1:20" s="5" customFormat="1" ht="24">
      <c r="A110" s="69" t="s">
        <v>564</v>
      </c>
      <c r="B110" s="70">
        <v>5.2</v>
      </c>
      <c r="C110" s="71" t="s">
        <v>510</v>
      </c>
      <c r="D110" s="80" t="s">
        <v>511</v>
      </c>
      <c r="E110" s="80" t="s">
        <v>511</v>
      </c>
      <c r="F110" s="98">
        <v>22</v>
      </c>
      <c r="G110" s="95">
        <v>5.2</v>
      </c>
      <c r="H110" s="165" t="s">
        <v>809</v>
      </c>
      <c r="I110" s="108" t="s">
        <v>511</v>
      </c>
      <c r="J110" s="108" t="s">
        <v>511</v>
      </c>
      <c r="K110" s="108" t="s">
        <v>511</v>
      </c>
      <c r="L110" s="108" t="s">
        <v>511</v>
      </c>
      <c r="M110" s="108" t="s">
        <v>511</v>
      </c>
      <c r="N110" s="108" t="s">
        <v>511</v>
      </c>
      <c r="O110" s="108" t="s">
        <v>511</v>
      </c>
      <c r="P110" s="108" t="s">
        <v>511</v>
      </c>
      <c r="Q110" s="108" t="s">
        <v>511</v>
      </c>
      <c r="R110" s="108" t="s">
        <v>511</v>
      </c>
      <c r="S110" s="108" t="s">
        <v>511</v>
      </c>
      <c r="T110" s="108" t="s">
        <v>511</v>
      </c>
    </row>
    <row r="111" spans="1:20" s="5" customFormat="1" ht="12.75">
      <c r="A111" s="92" t="s">
        <v>565</v>
      </c>
      <c r="B111" s="77">
        <v>0.1</v>
      </c>
      <c r="C111" s="85" t="s">
        <v>510</v>
      </c>
      <c r="D111" s="80" t="s">
        <v>511</v>
      </c>
      <c r="E111" s="80" t="s">
        <v>511</v>
      </c>
      <c r="F111" s="73" t="s">
        <v>511</v>
      </c>
      <c r="G111" s="73" t="s">
        <v>511</v>
      </c>
      <c r="H111" s="73" t="s">
        <v>511</v>
      </c>
      <c r="I111" s="80" t="s">
        <v>511</v>
      </c>
      <c r="J111" s="70">
        <v>0.1</v>
      </c>
      <c r="K111" s="108" t="s">
        <v>511</v>
      </c>
      <c r="L111" s="80" t="s">
        <v>511</v>
      </c>
      <c r="M111" s="108" t="s">
        <v>511</v>
      </c>
      <c r="N111" s="108" t="s">
        <v>511</v>
      </c>
      <c r="O111" s="108" t="s">
        <v>511</v>
      </c>
      <c r="P111" s="108" t="s">
        <v>511</v>
      </c>
      <c r="Q111" s="108" t="s">
        <v>511</v>
      </c>
      <c r="R111" s="108" t="s">
        <v>511</v>
      </c>
      <c r="S111" s="108" t="s">
        <v>511</v>
      </c>
      <c r="T111" s="85">
        <v>0.1</v>
      </c>
    </row>
    <row r="112" spans="1:20" s="6" customFormat="1" ht="12.75">
      <c r="A112" s="69" t="s">
        <v>566</v>
      </c>
      <c r="B112" s="70">
        <v>0.0963</v>
      </c>
      <c r="C112" s="71" t="s">
        <v>510</v>
      </c>
      <c r="D112" s="72" t="s">
        <v>511</v>
      </c>
      <c r="E112" s="72" t="s">
        <v>511</v>
      </c>
      <c r="F112" s="73" t="s">
        <v>511</v>
      </c>
      <c r="G112" s="77" t="s">
        <v>511</v>
      </c>
      <c r="H112" s="73" t="s">
        <v>511</v>
      </c>
      <c r="I112" s="118">
        <v>0.1925</v>
      </c>
      <c r="J112" s="70">
        <v>0.0963</v>
      </c>
      <c r="K112" s="85">
        <v>0.064</v>
      </c>
      <c r="L112" s="85">
        <v>0.004</v>
      </c>
      <c r="M112" s="110">
        <v>0.17</v>
      </c>
      <c r="N112" s="85">
        <v>0.043</v>
      </c>
      <c r="O112" s="73" t="s">
        <v>511</v>
      </c>
      <c r="P112" s="73" t="s">
        <v>511</v>
      </c>
      <c r="Q112" s="73" t="s">
        <v>511</v>
      </c>
      <c r="R112" s="73" t="s">
        <v>511</v>
      </c>
      <c r="S112" s="77" t="s">
        <v>511</v>
      </c>
      <c r="T112" s="77" t="s">
        <v>511</v>
      </c>
    </row>
    <row r="113" spans="1:20" s="5" customFormat="1" ht="12.75">
      <c r="A113" s="69" t="s">
        <v>567</v>
      </c>
      <c r="B113" s="70">
        <v>4</v>
      </c>
      <c r="C113" s="71" t="s">
        <v>510</v>
      </c>
      <c r="D113" s="72" t="s">
        <v>511</v>
      </c>
      <c r="E113" s="72" t="s">
        <v>511</v>
      </c>
      <c r="F113" s="73" t="s">
        <v>511</v>
      </c>
      <c r="G113" s="77" t="s">
        <v>511</v>
      </c>
      <c r="H113" s="73" t="s">
        <v>511</v>
      </c>
      <c r="I113" s="73" t="s">
        <v>511</v>
      </c>
      <c r="J113" s="73" t="s">
        <v>511</v>
      </c>
      <c r="K113" s="98">
        <v>36</v>
      </c>
      <c r="L113" s="83">
        <v>4</v>
      </c>
      <c r="M113" s="98">
        <v>66</v>
      </c>
      <c r="N113" s="99">
        <v>3.7</v>
      </c>
      <c r="O113" s="108" t="s">
        <v>511</v>
      </c>
      <c r="P113" s="108" t="s">
        <v>511</v>
      </c>
      <c r="Q113" s="108" t="s">
        <v>511</v>
      </c>
      <c r="R113" s="108" t="s">
        <v>511</v>
      </c>
      <c r="S113" s="100" t="s">
        <v>511</v>
      </c>
      <c r="T113" s="100" t="s">
        <v>511</v>
      </c>
    </row>
    <row r="114" spans="1:20" s="5" customFormat="1" ht="12.75">
      <c r="A114" s="69" t="s">
        <v>568</v>
      </c>
      <c r="B114" s="70">
        <v>10</v>
      </c>
      <c r="C114" s="71" t="s">
        <v>510</v>
      </c>
      <c r="D114" s="72" t="s">
        <v>511</v>
      </c>
      <c r="E114" s="72" t="s">
        <v>511</v>
      </c>
      <c r="F114" s="73" t="s">
        <v>511</v>
      </c>
      <c r="G114" s="77" t="s">
        <v>511</v>
      </c>
      <c r="H114" s="73" t="s">
        <v>511</v>
      </c>
      <c r="I114" s="73" t="s">
        <v>511</v>
      </c>
      <c r="J114" s="73" t="s">
        <v>511</v>
      </c>
      <c r="K114" s="73" t="s">
        <v>511</v>
      </c>
      <c r="L114" s="73" t="s">
        <v>511</v>
      </c>
      <c r="M114" s="73" t="s">
        <v>511</v>
      </c>
      <c r="N114" s="73" t="s">
        <v>511</v>
      </c>
      <c r="O114" s="73" t="s">
        <v>511</v>
      </c>
      <c r="P114" s="73" t="s">
        <v>511</v>
      </c>
      <c r="Q114" s="83">
        <v>10</v>
      </c>
      <c r="R114" s="103" t="s">
        <v>511</v>
      </c>
      <c r="S114" s="73" t="s">
        <v>511</v>
      </c>
      <c r="T114" s="73" t="s">
        <v>511</v>
      </c>
    </row>
    <row r="115" spans="1:21" s="8" customFormat="1" ht="36">
      <c r="A115" s="69" t="s">
        <v>569</v>
      </c>
      <c r="B115" s="70">
        <v>0.0019</v>
      </c>
      <c r="C115" s="71" t="s">
        <v>510</v>
      </c>
      <c r="D115" s="129" t="s">
        <v>571</v>
      </c>
      <c r="E115" s="130" t="s">
        <v>137</v>
      </c>
      <c r="F115" s="110">
        <v>0.24</v>
      </c>
      <c r="G115" s="127">
        <v>0.0019</v>
      </c>
      <c r="H115" s="118" t="s">
        <v>810</v>
      </c>
      <c r="I115" s="120">
        <v>0.24</v>
      </c>
      <c r="J115" s="120">
        <v>0.056</v>
      </c>
      <c r="K115" s="110">
        <v>0.24</v>
      </c>
      <c r="L115" s="120">
        <v>0.056</v>
      </c>
      <c r="M115" s="109" t="s">
        <v>511</v>
      </c>
      <c r="N115" s="109" t="s">
        <v>511</v>
      </c>
      <c r="O115" s="131">
        <v>2.5</v>
      </c>
      <c r="P115" s="132">
        <v>0.0019</v>
      </c>
      <c r="Q115" s="109" t="s">
        <v>511</v>
      </c>
      <c r="R115" s="109" t="s">
        <v>511</v>
      </c>
      <c r="S115" s="109" t="s">
        <v>511</v>
      </c>
      <c r="T115" s="109" t="s">
        <v>511</v>
      </c>
      <c r="U115" s="22"/>
    </row>
    <row r="116" spans="1:21" s="8" customFormat="1" ht="12.75">
      <c r="A116" s="69" t="s">
        <v>572</v>
      </c>
      <c r="B116" s="70">
        <v>110</v>
      </c>
      <c r="C116" s="71" t="s">
        <v>510</v>
      </c>
      <c r="D116" s="80" t="s">
        <v>511</v>
      </c>
      <c r="E116" s="80" t="s">
        <v>511</v>
      </c>
      <c r="F116" s="73" t="s">
        <v>511</v>
      </c>
      <c r="G116" s="73" t="s">
        <v>511</v>
      </c>
      <c r="H116" s="81" t="s">
        <v>511</v>
      </c>
      <c r="I116" s="73" t="s">
        <v>511</v>
      </c>
      <c r="J116" s="73" t="s">
        <v>511</v>
      </c>
      <c r="K116" s="85">
        <v>980</v>
      </c>
      <c r="L116" s="70">
        <v>110</v>
      </c>
      <c r="M116" s="74">
        <v>1800</v>
      </c>
      <c r="N116" s="85">
        <v>210</v>
      </c>
      <c r="O116" s="78">
        <v>5210</v>
      </c>
      <c r="P116" s="85">
        <v>521</v>
      </c>
      <c r="Q116" s="73" t="s">
        <v>511</v>
      </c>
      <c r="R116" s="73" t="s">
        <v>511</v>
      </c>
      <c r="S116" s="77" t="s">
        <v>511</v>
      </c>
      <c r="T116" s="77" t="s">
        <v>511</v>
      </c>
      <c r="U116" s="22"/>
    </row>
    <row r="117" spans="1:21" s="8" customFormat="1" ht="12.75">
      <c r="A117" s="69" t="s">
        <v>573</v>
      </c>
      <c r="B117" s="70">
        <v>330</v>
      </c>
      <c r="C117" s="71" t="s">
        <v>510</v>
      </c>
      <c r="D117" s="80" t="s">
        <v>511</v>
      </c>
      <c r="E117" s="80" t="s">
        <v>511</v>
      </c>
      <c r="F117" s="73" t="s">
        <v>511</v>
      </c>
      <c r="G117" s="73" t="s">
        <v>511</v>
      </c>
      <c r="H117" s="81" t="s">
        <v>511</v>
      </c>
      <c r="I117" s="73" t="s">
        <v>511</v>
      </c>
      <c r="J117" s="73" t="s">
        <v>511</v>
      </c>
      <c r="K117" s="73" t="s">
        <v>511</v>
      </c>
      <c r="L117" s="73" t="s">
        <v>511</v>
      </c>
      <c r="M117" s="73" t="s">
        <v>511</v>
      </c>
      <c r="N117" s="73" t="s">
        <v>511</v>
      </c>
      <c r="O117" s="78">
        <v>3300</v>
      </c>
      <c r="P117" s="70">
        <v>330</v>
      </c>
      <c r="Q117" s="73" t="s">
        <v>511</v>
      </c>
      <c r="R117" s="73" t="s">
        <v>511</v>
      </c>
      <c r="S117" s="73" t="s">
        <v>511</v>
      </c>
      <c r="T117" s="73" t="s">
        <v>511</v>
      </c>
      <c r="U117" s="22"/>
    </row>
    <row r="118" spans="1:21" s="8" customFormat="1" ht="12.75">
      <c r="A118" s="69" t="s">
        <v>574</v>
      </c>
      <c r="B118" s="70">
        <v>9.7</v>
      </c>
      <c r="C118" s="71" t="s">
        <v>510</v>
      </c>
      <c r="D118" s="80" t="s">
        <v>511</v>
      </c>
      <c r="E118" s="80" t="s">
        <v>511</v>
      </c>
      <c r="F118" s="73" t="s">
        <v>511</v>
      </c>
      <c r="G118" s="73" t="s">
        <v>511</v>
      </c>
      <c r="H118" s="81" t="s">
        <v>511</v>
      </c>
      <c r="I118" s="73" t="s">
        <v>511</v>
      </c>
      <c r="J118" s="73" t="s">
        <v>511</v>
      </c>
      <c r="K118" s="98">
        <v>38</v>
      </c>
      <c r="L118" s="95">
        <v>9.7</v>
      </c>
      <c r="M118" s="85">
        <v>190</v>
      </c>
      <c r="N118" s="85">
        <v>35</v>
      </c>
      <c r="O118" s="98">
        <v>94</v>
      </c>
      <c r="P118" s="99">
        <v>9.4</v>
      </c>
      <c r="Q118" s="98">
        <v>19</v>
      </c>
      <c r="R118" s="88" t="s">
        <v>511</v>
      </c>
      <c r="S118" s="79" t="s">
        <v>511</v>
      </c>
      <c r="T118" s="79" t="s">
        <v>511</v>
      </c>
      <c r="U118" s="22"/>
    </row>
    <row r="119" spans="1:21" s="8" customFormat="1" ht="12.75">
      <c r="A119" s="69" t="s">
        <v>575</v>
      </c>
      <c r="B119" s="70">
        <v>0.48</v>
      </c>
      <c r="C119" s="71" t="s">
        <v>510</v>
      </c>
      <c r="D119" s="72" t="s">
        <v>511</v>
      </c>
      <c r="E119" s="72" t="s">
        <v>511</v>
      </c>
      <c r="F119" s="73" t="s">
        <v>511</v>
      </c>
      <c r="G119" s="73" t="s">
        <v>511</v>
      </c>
      <c r="H119" s="73" t="s">
        <v>511</v>
      </c>
      <c r="I119" s="73" t="s">
        <v>511</v>
      </c>
      <c r="J119" s="73" t="s">
        <v>511</v>
      </c>
      <c r="K119" s="99">
        <v>4.8</v>
      </c>
      <c r="L119" s="121">
        <v>0.48</v>
      </c>
      <c r="M119" s="108" t="s">
        <v>511</v>
      </c>
      <c r="N119" s="108" t="s">
        <v>511</v>
      </c>
      <c r="O119" s="108" t="s">
        <v>511</v>
      </c>
      <c r="P119" s="108" t="s">
        <v>511</v>
      </c>
      <c r="Q119" s="110">
        <v>0.05</v>
      </c>
      <c r="R119" s="108" t="s">
        <v>511</v>
      </c>
      <c r="S119" s="100" t="s">
        <v>511</v>
      </c>
      <c r="T119" s="100" t="s">
        <v>511</v>
      </c>
      <c r="U119" s="22"/>
    </row>
    <row r="120" spans="1:21" s="8" customFormat="1" ht="24">
      <c r="A120" s="69" t="s">
        <v>576</v>
      </c>
      <c r="B120" s="70">
        <v>0.036</v>
      </c>
      <c r="C120" s="71" t="s">
        <v>510</v>
      </c>
      <c r="D120" s="104">
        <v>0.086</v>
      </c>
      <c r="E120" s="104">
        <v>0.036</v>
      </c>
      <c r="F120" s="120">
        <v>0.086</v>
      </c>
      <c r="G120" s="116">
        <v>0.036</v>
      </c>
      <c r="H120" s="166" t="s">
        <v>570</v>
      </c>
      <c r="I120" s="120">
        <v>0.086</v>
      </c>
      <c r="J120" s="120">
        <v>0.036</v>
      </c>
      <c r="K120" s="120">
        <v>0.086</v>
      </c>
      <c r="L120" s="120">
        <v>0.036</v>
      </c>
      <c r="M120" s="109" t="s">
        <v>511</v>
      </c>
      <c r="N120" s="109" t="s">
        <v>511</v>
      </c>
      <c r="O120" s="120">
        <v>0.18</v>
      </c>
      <c r="P120" s="132">
        <v>0.0023</v>
      </c>
      <c r="Q120" s="109" t="s">
        <v>511</v>
      </c>
      <c r="R120" s="109" t="s">
        <v>511</v>
      </c>
      <c r="S120" s="109" t="s">
        <v>511</v>
      </c>
      <c r="T120" s="99">
        <v>9.7</v>
      </c>
      <c r="U120" s="22"/>
    </row>
    <row r="121" spans="1:21" s="8" customFormat="1" ht="12.75">
      <c r="A121" s="69" t="s">
        <v>577</v>
      </c>
      <c r="B121" s="70">
        <v>18</v>
      </c>
      <c r="C121" s="71" t="s">
        <v>510</v>
      </c>
      <c r="D121" s="80" t="s">
        <v>511</v>
      </c>
      <c r="E121" s="80" t="s">
        <v>511</v>
      </c>
      <c r="F121" s="73" t="s">
        <v>511</v>
      </c>
      <c r="G121" s="73" t="s">
        <v>511</v>
      </c>
      <c r="H121" s="81" t="s">
        <v>511</v>
      </c>
      <c r="I121" s="73" t="s">
        <v>511</v>
      </c>
      <c r="J121" s="73" t="s">
        <v>511</v>
      </c>
      <c r="K121" s="85">
        <v>160</v>
      </c>
      <c r="L121" s="70">
        <v>18</v>
      </c>
      <c r="M121" s="85">
        <v>130</v>
      </c>
      <c r="N121" s="85">
        <v>7.3</v>
      </c>
      <c r="O121" s="74">
        <v>4530</v>
      </c>
      <c r="P121" s="85">
        <v>453</v>
      </c>
      <c r="Q121" s="85">
        <v>90</v>
      </c>
      <c r="R121" s="73" t="s">
        <v>511</v>
      </c>
      <c r="S121" s="77" t="s">
        <v>511</v>
      </c>
      <c r="T121" s="77" t="s">
        <v>511</v>
      </c>
      <c r="U121" s="22"/>
    </row>
    <row r="122" spans="1:21" s="8" customFormat="1" ht="12.75">
      <c r="A122" s="69" t="s">
        <v>578</v>
      </c>
      <c r="B122" s="70">
        <v>1.6</v>
      </c>
      <c r="C122" s="71" t="s">
        <v>510</v>
      </c>
      <c r="D122" s="80" t="s">
        <v>511</v>
      </c>
      <c r="E122" s="80" t="s">
        <v>511</v>
      </c>
      <c r="F122" s="73" t="s">
        <v>511</v>
      </c>
      <c r="G122" s="73" t="s">
        <v>511</v>
      </c>
      <c r="H122" s="81" t="s">
        <v>511</v>
      </c>
      <c r="I122" s="73" t="s">
        <v>511</v>
      </c>
      <c r="J122" s="73" t="s">
        <v>511</v>
      </c>
      <c r="K122" s="98">
        <v>14</v>
      </c>
      <c r="L122" s="95">
        <v>1.6</v>
      </c>
      <c r="M122" s="73" t="s">
        <v>511</v>
      </c>
      <c r="N122" s="73" t="s">
        <v>511</v>
      </c>
      <c r="O122" s="74">
        <v>398</v>
      </c>
      <c r="P122" s="99">
        <v>39.8</v>
      </c>
      <c r="Q122" s="110">
        <v>0.04</v>
      </c>
      <c r="R122" s="108" t="s">
        <v>511</v>
      </c>
      <c r="S122" s="100" t="s">
        <v>511</v>
      </c>
      <c r="T122" s="77" t="s">
        <v>511</v>
      </c>
      <c r="U122" s="22"/>
    </row>
    <row r="123" spans="1:21" s="8" customFormat="1" ht="12.75">
      <c r="A123" s="69" t="s">
        <v>579</v>
      </c>
      <c r="B123" s="121">
        <f>((0.02)*(EXP(0.907*(LN(175))+7.394)))/1000</f>
        <v>3.5207801336730644</v>
      </c>
      <c r="C123" s="71" t="s">
        <v>547</v>
      </c>
      <c r="D123" s="72" t="s">
        <v>511</v>
      </c>
      <c r="E123" s="72" t="s">
        <v>511</v>
      </c>
      <c r="F123" s="73" t="s">
        <v>511</v>
      </c>
      <c r="G123" s="73" t="s">
        <v>511</v>
      </c>
      <c r="H123" s="73" t="s">
        <v>511</v>
      </c>
      <c r="I123" s="73" t="s">
        <v>511</v>
      </c>
      <c r="J123" s="101" t="s">
        <v>511</v>
      </c>
      <c r="K123" s="101" t="s">
        <v>511</v>
      </c>
      <c r="L123" s="101" t="s">
        <v>511</v>
      </c>
      <c r="M123" s="101" t="s">
        <v>511</v>
      </c>
      <c r="N123" s="101" t="s">
        <v>511</v>
      </c>
      <c r="O123" s="101" t="s">
        <v>511</v>
      </c>
      <c r="P123" s="101" t="s">
        <v>511</v>
      </c>
      <c r="Q123" s="101" t="s">
        <v>511</v>
      </c>
      <c r="R123" s="101" t="s">
        <v>511</v>
      </c>
      <c r="S123" s="99">
        <f>((0.1)*(EXP(0.907*(LN(175))+7.394)))/1000</f>
        <v>17.603900668365323</v>
      </c>
      <c r="T123" s="121">
        <f>((0.02)*(EXP(0.907*(LN(175))+7.394)))/1000</f>
        <v>3.5207801336730644</v>
      </c>
      <c r="U123" s="22"/>
    </row>
    <row r="124" spans="1:21" s="8" customFormat="1" ht="24">
      <c r="A124" s="69" t="s">
        <v>580</v>
      </c>
      <c r="B124" s="70">
        <v>0.0038</v>
      </c>
      <c r="C124" s="71" t="s">
        <v>510</v>
      </c>
      <c r="D124" s="110">
        <v>0.52</v>
      </c>
      <c r="E124" s="127">
        <v>0.0038</v>
      </c>
      <c r="F124" s="110">
        <v>0.52</v>
      </c>
      <c r="G124" s="127">
        <v>0.0038</v>
      </c>
      <c r="H124" s="118" t="s">
        <v>811</v>
      </c>
      <c r="I124" s="120">
        <v>0.52</v>
      </c>
      <c r="J124" s="132">
        <v>0.0038</v>
      </c>
      <c r="K124" s="109" t="s">
        <v>511</v>
      </c>
      <c r="L124" s="109" t="s">
        <v>511</v>
      </c>
      <c r="M124" s="109" t="s">
        <v>511</v>
      </c>
      <c r="N124" s="109" t="s">
        <v>511</v>
      </c>
      <c r="O124" s="120">
        <v>0.52</v>
      </c>
      <c r="P124" s="120">
        <v>0.0038</v>
      </c>
      <c r="Q124" s="109" t="s">
        <v>511</v>
      </c>
      <c r="R124" s="109" t="s">
        <v>511</v>
      </c>
      <c r="S124" s="109" t="s">
        <v>511</v>
      </c>
      <c r="T124" s="109" t="s">
        <v>511</v>
      </c>
      <c r="U124" s="22"/>
    </row>
    <row r="125" spans="1:21" s="8" customFormat="1" ht="36">
      <c r="A125" s="69" t="s">
        <v>581</v>
      </c>
      <c r="B125" s="70">
        <v>0.0038</v>
      </c>
      <c r="C125" s="71" t="s">
        <v>510</v>
      </c>
      <c r="D125" s="110">
        <v>0.52</v>
      </c>
      <c r="E125" s="127">
        <v>0.0038</v>
      </c>
      <c r="F125" s="110">
        <v>0.52</v>
      </c>
      <c r="G125" s="127">
        <v>0.0038</v>
      </c>
      <c r="H125" s="165" t="s">
        <v>812</v>
      </c>
      <c r="I125" s="120">
        <v>0.52</v>
      </c>
      <c r="J125" s="132">
        <v>0.0038</v>
      </c>
      <c r="K125" s="110">
        <v>0.42</v>
      </c>
      <c r="L125" s="110">
        <v>0.07</v>
      </c>
      <c r="M125" s="120">
        <v>0.125</v>
      </c>
      <c r="N125" s="120">
        <v>0.0069</v>
      </c>
      <c r="O125" s="120">
        <v>0.52</v>
      </c>
      <c r="P125" s="120">
        <v>0.0038</v>
      </c>
      <c r="Q125" s="109" t="s">
        <v>511</v>
      </c>
      <c r="R125" s="109" t="s">
        <v>511</v>
      </c>
      <c r="S125" s="109" t="s">
        <v>511</v>
      </c>
      <c r="T125" s="109" t="s">
        <v>511</v>
      </c>
      <c r="U125" s="22"/>
    </row>
    <row r="126" spans="1:21" s="8" customFormat="1" ht="12.75">
      <c r="A126" s="69" t="s">
        <v>582</v>
      </c>
      <c r="B126" s="70">
        <v>12</v>
      </c>
      <c r="C126" s="71" t="s">
        <v>510</v>
      </c>
      <c r="D126" s="72" t="s">
        <v>511</v>
      </c>
      <c r="E126" s="72" t="s">
        <v>511</v>
      </c>
      <c r="F126" s="73" t="s">
        <v>511</v>
      </c>
      <c r="G126" s="77" t="s">
        <v>511</v>
      </c>
      <c r="H126" s="73" t="s">
        <v>511</v>
      </c>
      <c r="I126" s="73" t="s">
        <v>511</v>
      </c>
      <c r="J126" s="73" t="s">
        <v>511</v>
      </c>
      <c r="K126" s="73" t="s">
        <v>511</v>
      </c>
      <c r="L126" s="73" t="s">
        <v>511</v>
      </c>
      <c r="M126" s="85">
        <v>210</v>
      </c>
      <c r="N126" s="70">
        <v>12</v>
      </c>
      <c r="O126" s="73" t="s">
        <v>511</v>
      </c>
      <c r="P126" s="73" t="s">
        <v>511</v>
      </c>
      <c r="Q126" s="73" t="s">
        <v>511</v>
      </c>
      <c r="R126" s="73" t="s">
        <v>511</v>
      </c>
      <c r="S126" s="73" t="s">
        <v>511</v>
      </c>
      <c r="T126" s="73" t="s">
        <v>511</v>
      </c>
      <c r="U126" s="22"/>
    </row>
    <row r="127" spans="1:21" s="8" customFormat="1" ht="12.75">
      <c r="A127" s="69" t="s">
        <v>583</v>
      </c>
      <c r="B127" s="70">
        <v>1</v>
      </c>
      <c r="C127" s="71" t="s">
        <v>510</v>
      </c>
      <c r="D127" s="72" t="s">
        <v>511</v>
      </c>
      <c r="E127" s="72" t="s">
        <v>511</v>
      </c>
      <c r="F127" s="73" t="s">
        <v>511</v>
      </c>
      <c r="G127" s="73" t="s">
        <v>511</v>
      </c>
      <c r="H127" s="73" t="s">
        <v>511</v>
      </c>
      <c r="I127" s="73" t="s">
        <v>511</v>
      </c>
      <c r="J127" s="73" t="s">
        <v>511</v>
      </c>
      <c r="K127" s="85">
        <v>7</v>
      </c>
      <c r="L127" s="70">
        <v>1</v>
      </c>
      <c r="M127" s="73" t="s">
        <v>511</v>
      </c>
      <c r="N127" s="73" t="s">
        <v>511</v>
      </c>
      <c r="O127" s="85">
        <v>9</v>
      </c>
      <c r="P127" s="85">
        <v>0.93</v>
      </c>
      <c r="Q127" s="85">
        <v>1.3</v>
      </c>
      <c r="R127" s="73" t="s">
        <v>511</v>
      </c>
      <c r="S127" s="77" t="s">
        <v>511</v>
      </c>
      <c r="T127" s="77" t="s">
        <v>511</v>
      </c>
      <c r="U127" s="22"/>
    </row>
    <row r="128" spans="1:21" s="8" customFormat="1" ht="12.75">
      <c r="A128" s="69" t="s">
        <v>584</v>
      </c>
      <c r="B128" s="70">
        <v>0.07</v>
      </c>
      <c r="C128" s="71" t="s">
        <v>510</v>
      </c>
      <c r="D128" s="72" t="s">
        <v>511</v>
      </c>
      <c r="E128" s="72" t="s">
        <v>511</v>
      </c>
      <c r="F128" s="73" t="s">
        <v>511</v>
      </c>
      <c r="G128" s="73" t="s">
        <v>511</v>
      </c>
      <c r="H128" s="73" t="s">
        <v>511</v>
      </c>
      <c r="I128" s="73" t="s">
        <v>511</v>
      </c>
      <c r="J128" s="73" t="s">
        <v>511</v>
      </c>
      <c r="K128" s="73" t="s">
        <v>511</v>
      </c>
      <c r="L128" s="77" t="s">
        <v>511</v>
      </c>
      <c r="M128" s="73" t="s">
        <v>511</v>
      </c>
      <c r="N128" s="73" t="s">
        <v>511</v>
      </c>
      <c r="O128" s="99">
        <v>0.7</v>
      </c>
      <c r="P128" s="70">
        <v>0.07</v>
      </c>
      <c r="Q128" s="73" t="s">
        <v>511</v>
      </c>
      <c r="R128" s="73" t="s">
        <v>511</v>
      </c>
      <c r="S128" s="77" t="s">
        <v>511</v>
      </c>
      <c r="T128" s="77" t="s">
        <v>511</v>
      </c>
      <c r="U128" s="22"/>
    </row>
    <row r="129" spans="1:21" s="8" customFormat="1" ht="12.75">
      <c r="A129" s="69" t="s">
        <v>585</v>
      </c>
      <c r="B129" s="70">
        <v>8</v>
      </c>
      <c r="C129" s="71" t="s">
        <v>510</v>
      </c>
      <c r="D129" s="72" t="s">
        <v>511</v>
      </c>
      <c r="E129" s="72" t="s">
        <v>511</v>
      </c>
      <c r="F129" s="73" t="s">
        <v>511</v>
      </c>
      <c r="G129" s="73" t="s">
        <v>511</v>
      </c>
      <c r="H129" s="73" t="s">
        <v>511</v>
      </c>
      <c r="I129" s="73" t="s">
        <v>511</v>
      </c>
      <c r="J129" s="73" t="s">
        <v>511</v>
      </c>
      <c r="K129" s="85">
        <v>70</v>
      </c>
      <c r="L129" s="70">
        <v>8</v>
      </c>
      <c r="M129" s="73" t="s">
        <v>511</v>
      </c>
      <c r="N129" s="73" t="s">
        <v>511</v>
      </c>
      <c r="O129" s="85">
        <v>98</v>
      </c>
      <c r="P129" s="85">
        <v>9.8</v>
      </c>
      <c r="Q129" s="73" t="s">
        <v>511</v>
      </c>
      <c r="R129" s="73" t="s">
        <v>511</v>
      </c>
      <c r="S129" s="77" t="s">
        <v>511</v>
      </c>
      <c r="T129" s="77" t="s">
        <v>511</v>
      </c>
      <c r="U129" s="22"/>
    </row>
    <row r="130" spans="1:21" s="8" customFormat="1" ht="12.75">
      <c r="A130" s="69" t="s">
        <v>183</v>
      </c>
      <c r="B130" s="70">
        <v>250</v>
      </c>
      <c r="C130" s="71" t="s">
        <v>510</v>
      </c>
      <c r="D130" s="72" t="s">
        <v>511</v>
      </c>
      <c r="E130" s="72" t="s">
        <v>511</v>
      </c>
      <c r="F130" s="73" t="s">
        <v>511</v>
      </c>
      <c r="G130" s="73" t="s">
        <v>511</v>
      </c>
      <c r="H130" s="73" t="s">
        <v>511</v>
      </c>
      <c r="I130" s="73" t="s">
        <v>511</v>
      </c>
      <c r="J130" s="73" t="s">
        <v>511</v>
      </c>
      <c r="K130" s="74">
        <v>2300</v>
      </c>
      <c r="L130" s="70">
        <v>250</v>
      </c>
      <c r="M130" s="73" t="s">
        <v>511</v>
      </c>
      <c r="N130" s="73" t="s">
        <v>511</v>
      </c>
      <c r="O130" s="73" t="s">
        <v>511</v>
      </c>
      <c r="P130" s="73" t="s">
        <v>511</v>
      </c>
      <c r="Q130" s="73" t="s">
        <v>511</v>
      </c>
      <c r="R130" s="73" t="s">
        <v>511</v>
      </c>
      <c r="S130" s="77" t="s">
        <v>511</v>
      </c>
      <c r="T130" s="77" t="s">
        <v>511</v>
      </c>
      <c r="U130" s="22"/>
    </row>
    <row r="131" spans="1:20" s="5" customFormat="1" ht="36">
      <c r="A131" s="69" t="s">
        <v>586</v>
      </c>
      <c r="B131" s="75">
        <v>1000</v>
      </c>
      <c r="C131" s="71" t="s">
        <v>510</v>
      </c>
      <c r="D131" s="80" t="s">
        <v>511</v>
      </c>
      <c r="E131" s="80" t="s">
        <v>511</v>
      </c>
      <c r="F131" s="73" t="s">
        <v>511</v>
      </c>
      <c r="G131" s="75">
        <v>1000</v>
      </c>
      <c r="H131" s="118" t="s">
        <v>813</v>
      </c>
      <c r="I131" s="73" t="s">
        <v>511</v>
      </c>
      <c r="J131" s="74">
        <v>1000</v>
      </c>
      <c r="K131" s="73" t="s">
        <v>511</v>
      </c>
      <c r="L131" s="73" t="s">
        <v>511</v>
      </c>
      <c r="M131" s="78" t="s">
        <v>511</v>
      </c>
      <c r="N131" s="78" t="s">
        <v>511</v>
      </c>
      <c r="O131" s="73" t="s">
        <v>511</v>
      </c>
      <c r="P131" s="78">
        <v>1000</v>
      </c>
      <c r="Q131" s="85">
        <v>300</v>
      </c>
      <c r="R131" s="73" t="s">
        <v>511</v>
      </c>
      <c r="S131" s="73" t="s">
        <v>511</v>
      </c>
      <c r="T131" s="73" t="s">
        <v>511</v>
      </c>
    </row>
    <row r="132" spans="1:21" s="8" customFormat="1" ht="12.75">
      <c r="A132" s="69" t="s">
        <v>587</v>
      </c>
      <c r="B132" s="75">
        <v>1300</v>
      </c>
      <c r="C132" s="71" t="s">
        <v>510</v>
      </c>
      <c r="D132" s="72" t="s">
        <v>511</v>
      </c>
      <c r="E132" s="72" t="s">
        <v>511</v>
      </c>
      <c r="F132" s="73" t="s">
        <v>511</v>
      </c>
      <c r="G132" s="77" t="s">
        <v>511</v>
      </c>
      <c r="H132" s="73" t="s">
        <v>511</v>
      </c>
      <c r="I132" s="73" t="s">
        <v>511</v>
      </c>
      <c r="J132" s="73" t="s">
        <v>511</v>
      </c>
      <c r="K132" s="74">
        <v>4600</v>
      </c>
      <c r="L132" s="75">
        <v>1300</v>
      </c>
      <c r="M132" s="73" t="s">
        <v>511</v>
      </c>
      <c r="N132" s="73" t="s">
        <v>511</v>
      </c>
      <c r="O132" s="78">
        <v>11700</v>
      </c>
      <c r="P132" s="78">
        <v>1170</v>
      </c>
      <c r="Q132" s="73" t="s">
        <v>511</v>
      </c>
      <c r="R132" s="73" t="s">
        <v>511</v>
      </c>
      <c r="S132" s="77" t="s">
        <v>511</v>
      </c>
      <c r="T132" s="77" t="s">
        <v>511</v>
      </c>
      <c r="U132" s="22"/>
    </row>
    <row r="133" spans="1:21" s="8" customFormat="1" ht="12.75">
      <c r="A133" s="69" t="s">
        <v>588</v>
      </c>
      <c r="B133" s="128">
        <f>(EXP(1.273*(LN(175))-4.705))*(1.46203-(LN(175)*0.145712))</f>
        <v>4.602131470900746</v>
      </c>
      <c r="C133" s="71" t="s">
        <v>510</v>
      </c>
      <c r="D133" s="104">
        <v>183.16</v>
      </c>
      <c r="E133" s="104">
        <v>7.14</v>
      </c>
      <c r="F133" s="125">
        <f>(EXP(1.273*(LN(175))-1.46))*(1.46203-(LN(175)*0.145712))</f>
        <v>118.09856346530678</v>
      </c>
      <c r="G133" s="128">
        <f>(EXP(1.273*(LN(175))-4.705))*(1.46203-(LN(175)*0.145712))</f>
        <v>4.602131470900746</v>
      </c>
      <c r="H133" s="118" t="s">
        <v>540</v>
      </c>
      <c r="I133" s="125">
        <f>(EXP(1.273*(LN(175))-1.46))*(1.136672-(LN(175)*0.041838))</f>
        <v>153.24370837802604</v>
      </c>
      <c r="J133" s="125">
        <f>(EXP(1.273*(LN(175))-4.705))*(1.101672-(LN(175)*0.041838))</f>
        <v>5.744648585314593</v>
      </c>
      <c r="K133" s="99">
        <f>(EXP(1.273*(LN(175))-1.1098))*(1.46203-(LN(175)*0.14571))</f>
        <v>167.62580083034607</v>
      </c>
      <c r="L133" s="99">
        <f>(EXP(1.273*(LN(175))-3.296))*(1.46203-(LN(175)*0.14571))</f>
        <v>18.831558744741557</v>
      </c>
      <c r="M133" s="73" t="s">
        <v>511</v>
      </c>
      <c r="N133" s="73" t="s">
        <v>511</v>
      </c>
      <c r="O133" s="73">
        <v>33.78</v>
      </c>
      <c r="P133" s="73">
        <v>1.32</v>
      </c>
      <c r="Q133" s="73" t="s">
        <v>511</v>
      </c>
      <c r="R133" s="73" t="s">
        <v>511</v>
      </c>
      <c r="S133" s="76" t="s">
        <v>511</v>
      </c>
      <c r="T133" s="76" t="s">
        <v>511</v>
      </c>
      <c r="U133" s="22"/>
    </row>
    <row r="134" spans="1:21" s="8" customFormat="1" ht="12.75">
      <c r="A134" s="69" t="s">
        <v>589</v>
      </c>
      <c r="B134" s="133">
        <v>6.5</v>
      </c>
      <c r="C134" s="71" t="s">
        <v>510</v>
      </c>
      <c r="D134" s="80" t="s">
        <v>511</v>
      </c>
      <c r="E134" s="80" t="s">
        <v>511</v>
      </c>
      <c r="F134" s="125">
        <f>(EXP(1.273*(LN(175))-1.46))</f>
        <v>166.46291382235594</v>
      </c>
      <c r="G134" s="128">
        <f>(EXP(1.273*(LN(175))-4.705))</f>
        <v>6.486820770387708</v>
      </c>
      <c r="H134" s="118" t="s">
        <v>540</v>
      </c>
      <c r="I134" s="125">
        <f>(EXP(1.273*(LN(175))-1.46))</f>
        <v>166.46291382235594</v>
      </c>
      <c r="J134" s="125">
        <f>(EXP(1.273*(LN(175))-4.705))</f>
        <v>6.486820770387708</v>
      </c>
      <c r="K134" s="99">
        <f>(EXP(1.273*(LN(175))-1.1098))</f>
        <v>236.26936819814856</v>
      </c>
      <c r="L134" s="99">
        <f>(EXP(1.273*(LN(175))-3.296))</f>
        <v>26.543172141558095</v>
      </c>
      <c r="M134" s="73" t="s">
        <v>511</v>
      </c>
      <c r="N134" s="73" t="s">
        <v>511</v>
      </c>
      <c r="O134" s="73" t="s">
        <v>511</v>
      </c>
      <c r="P134" s="73" t="s">
        <v>511</v>
      </c>
      <c r="Q134" s="73" t="s">
        <v>511</v>
      </c>
      <c r="R134" s="73" t="s">
        <v>511</v>
      </c>
      <c r="S134" s="76" t="s">
        <v>511</v>
      </c>
      <c r="T134" s="76" t="s">
        <v>511</v>
      </c>
      <c r="U134" s="22"/>
    </row>
    <row r="135" spans="1:21" s="8" customFormat="1" ht="36">
      <c r="A135" s="69" t="s">
        <v>590</v>
      </c>
      <c r="B135" s="77">
        <v>0.08</v>
      </c>
      <c r="C135" s="71" t="s">
        <v>510</v>
      </c>
      <c r="D135" s="104">
        <v>0.95</v>
      </c>
      <c r="E135" s="80" t="s">
        <v>511</v>
      </c>
      <c r="F135" s="110">
        <v>0.95</v>
      </c>
      <c r="G135" s="100">
        <v>0.08</v>
      </c>
      <c r="H135" s="165" t="s">
        <v>814</v>
      </c>
      <c r="I135" s="110">
        <v>0.95</v>
      </c>
      <c r="J135" s="134" t="s">
        <v>511</v>
      </c>
      <c r="K135" s="110">
        <v>0.95</v>
      </c>
      <c r="L135" s="110">
        <v>0.07</v>
      </c>
      <c r="M135" s="134" t="s">
        <v>511</v>
      </c>
      <c r="N135" s="134" t="s">
        <v>511</v>
      </c>
      <c r="O135" s="85">
        <v>2</v>
      </c>
      <c r="P135" s="110">
        <v>0.08</v>
      </c>
      <c r="Q135" s="110">
        <v>0.01</v>
      </c>
      <c r="R135" s="108" t="s">
        <v>511</v>
      </c>
      <c r="S135" s="134" t="s">
        <v>511</v>
      </c>
      <c r="T135" s="134" t="s">
        <v>511</v>
      </c>
      <c r="U135" s="22"/>
    </row>
    <row r="136" spans="1:21" s="8" customFormat="1" ht="12.75">
      <c r="A136" s="69" t="s">
        <v>591</v>
      </c>
      <c r="B136" s="95">
        <v>7</v>
      </c>
      <c r="C136" s="71" t="s">
        <v>510</v>
      </c>
      <c r="D136" s="72" t="s">
        <v>511</v>
      </c>
      <c r="E136" s="72" t="s">
        <v>511</v>
      </c>
      <c r="F136" s="73" t="s">
        <v>511</v>
      </c>
      <c r="G136" s="73" t="s">
        <v>511</v>
      </c>
      <c r="H136" s="73" t="s">
        <v>511</v>
      </c>
      <c r="I136" s="73" t="s">
        <v>511</v>
      </c>
      <c r="J136" s="73" t="s">
        <v>511</v>
      </c>
      <c r="K136" s="73" t="s">
        <v>511</v>
      </c>
      <c r="L136" s="73" t="s">
        <v>511</v>
      </c>
      <c r="M136" s="73" t="s">
        <v>511</v>
      </c>
      <c r="N136" s="73" t="s">
        <v>511</v>
      </c>
      <c r="O136" s="73" t="s">
        <v>511</v>
      </c>
      <c r="P136" s="73" t="s">
        <v>511</v>
      </c>
      <c r="Q136" s="95">
        <v>7</v>
      </c>
      <c r="R136" s="79" t="s">
        <v>511</v>
      </c>
      <c r="S136" s="73" t="s">
        <v>511</v>
      </c>
      <c r="T136" s="73" t="s">
        <v>511</v>
      </c>
      <c r="U136" s="22"/>
    </row>
    <row r="137" spans="1:21" s="8" customFormat="1" ht="12.75">
      <c r="A137" s="69" t="s">
        <v>592</v>
      </c>
      <c r="B137" s="70">
        <v>96</v>
      </c>
      <c r="C137" s="71" t="s">
        <v>510</v>
      </c>
      <c r="D137" s="72" t="s">
        <v>511</v>
      </c>
      <c r="E137" s="72" t="s">
        <v>511</v>
      </c>
      <c r="F137" s="73" t="s">
        <v>511</v>
      </c>
      <c r="G137" s="73" t="s">
        <v>511</v>
      </c>
      <c r="H137" s="73" t="s">
        <v>511</v>
      </c>
      <c r="I137" s="73" t="s">
        <v>511</v>
      </c>
      <c r="J137" s="73" t="s">
        <v>511</v>
      </c>
      <c r="K137" s="85">
        <v>870</v>
      </c>
      <c r="L137" s="70">
        <v>96</v>
      </c>
      <c r="M137" s="85">
        <v>260</v>
      </c>
      <c r="N137" s="85">
        <v>14</v>
      </c>
      <c r="O137" s="73" t="s">
        <v>511</v>
      </c>
      <c r="P137" s="73" t="s">
        <v>511</v>
      </c>
      <c r="Q137" s="73" t="s">
        <v>511</v>
      </c>
      <c r="R137" s="73" t="s">
        <v>511</v>
      </c>
      <c r="S137" s="77" t="s">
        <v>511</v>
      </c>
      <c r="T137" s="77" t="s">
        <v>511</v>
      </c>
      <c r="U137" s="22"/>
    </row>
    <row r="138" spans="1:21" s="8" customFormat="1" ht="24">
      <c r="A138" s="69" t="s">
        <v>593</v>
      </c>
      <c r="B138" s="77">
        <v>0.1</v>
      </c>
      <c r="C138" s="71" t="s">
        <v>510</v>
      </c>
      <c r="D138" s="80" t="s">
        <v>511</v>
      </c>
      <c r="E138" s="80" t="s">
        <v>511</v>
      </c>
      <c r="F138" s="73" t="s">
        <v>511</v>
      </c>
      <c r="G138" s="79">
        <v>0.1</v>
      </c>
      <c r="H138" s="118" t="s">
        <v>570</v>
      </c>
      <c r="I138" s="73" t="s">
        <v>511</v>
      </c>
      <c r="J138" s="76">
        <v>0.1</v>
      </c>
      <c r="K138" s="108" t="s">
        <v>511</v>
      </c>
      <c r="L138" s="108" t="s">
        <v>511</v>
      </c>
      <c r="M138" s="108" t="s">
        <v>511</v>
      </c>
      <c r="N138" s="108" t="s">
        <v>511</v>
      </c>
      <c r="O138" s="108" t="s">
        <v>511</v>
      </c>
      <c r="P138" s="110">
        <v>0.01</v>
      </c>
      <c r="Q138" s="73" t="s">
        <v>511</v>
      </c>
      <c r="R138" s="73" t="s">
        <v>511</v>
      </c>
      <c r="S138" s="108" t="s">
        <v>511</v>
      </c>
      <c r="T138" s="108" t="s">
        <v>511</v>
      </c>
      <c r="U138" s="22"/>
    </row>
    <row r="139" spans="1:21" s="8" customFormat="1" ht="12.75">
      <c r="A139" s="135" t="s">
        <v>594</v>
      </c>
      <c r="B139" s="75">
        <f>EXP(0.8784*(LN(175))+3.5199)</f>
        <v>3154.6978428276234</v>
      </c>
      <c r="C139" s="136" t="s">
        <v>510</v>
      </c>
      <c r="D139" s="72" t="s">
        <v>511</v>
      </c>
      <c r="E139" s="72" t="s">
        <v>511</v>
      </c>
      <c r="F139" s="78" t="s">
        <v>511</v>
      </c>
      <c r="G139" s="82" t="s">
        <v>511</v>
      </c>
      <c r="H139" s="78" t="s">
        <v>511</v>
      </c>
      <c r="I139" s="78" t="s">
        <v>511</v>
      </c>
      <c r="J139" s="78" t="s">
        <v>511</v>
      </c>
      <c r="K139" s="74">
        <f>(EXP(0.8784*(LN(175))+4.2889))</f>
        <v>6806.599937455017</v>
      </c>
      <c r="L139" s="75">
        <f>EXP(0.8784*(LN(175))+3.5199)</f>
        <v>3154.6978428276234</v>
      </c>
      <c r="M139" s="74">
        <v>2300</v>
      </c>
      <c r="N139" s="74">
        <v>120</v>
      </c>
      <c r="O139" s="78" t="s">
        <v>511</v>
      </c>
      <c r="P139" s="78" t="s">
        <v>511</v>
      </c>
      <c r="Q139" s="78" t="s">
        <v>511</v>
      </c>
      <c r="R139" s="78" t="s">
        <v>511</v>
      </c>
      <c r="S139" s="82" t="s">
        <v>511</v>
      </c>
      <c r="T139" s="82" t="s">
        <v>511</v>
      </c>
      <c r="U139" s="22"/>
    </row>
    <row r="140" spans="1:21" s="8" customFormat="1" ht="12.75">
      <c r="A140" s="69" t="s">
        <v>595</v>
      </c>
      <c r="B140" s="121">
        <v>0.77</v>
      </c>
      <c r="C140" s="71" t="s">
        <v>510</v>
      </c>
      <c r="D140" s="104">
        <v>1.4</v>
      </c>
      <c r="E140" s="117">
        <v>0.77</v>
      </c>
      <c r="F140" s="167" t="s">
        <v>511</v>
      </c>
      <c r="G140" s="167" t="s">
        <v>511</v>
      </c>
      <c r="H140" s="81" t="s">
        <v>511</v>
      </c>
      <c r="I140" s="110">
        <f>I141*0.85</f>
        <v>1.19</v>
      </c>
      <c r="J140" s="110">
        <f>J141*0.85</f>
        <v>0.6545</v>
      </c>
      <c r="K140" s="99">
        <v>1.4</v>
      </c>
      <c r="L140" s="110">
        <v>0.77</v>
      </c>
      <c r="M140" s="108" t="s">
        <v>511</v>
      </c>
      <c r="N140" s="108" t="s">
        <v>511</v>
      </c>
      <c r="O140" s="73" t="s">
        <v>511</v>
      </c>
      <c r="P140" s="73" t="s">
        <v>511</v>
      </c>
      <c r="Q140" s="73" t="s">
        <v>511</v>
      </c>
      <c r="R140" s="73" t="s">
        <v>511</v>
      </c>
      <c r="S140" s="108" t="s">
        <v>511</v>
      </c>
      <c r="T140" s="108" t="s">
        <v>511</v>
      </c>
      <c r="U140" s="22"/>
    </row>
    <row r="141" spans="1:21" s="8" customFormat="1" ht="48">
      <c r="A141" s="69" t="s">
        <v>596</v>
      </c>
      <c r="B141" s="70">
        <v>0.012</v>
      </c>
      <c r="C141" s="71" t="s">
        <v>510</v>
      </c>
      <c r="D141" s="80" t="s">
        <v>511</v>
      </c>
      <c r="E141" s="80" t="s">
        <v>511</v>
      </c>
      <c r="F141" s="125">
        <v>1.4</v>
      </c>
      <c r="G141" s="116">
        <v>0.012</v>
      </c>
      <c r="H141" s="118" t="s">
        <v>195</v>
      </c>
      <c r="I141" s="110">
        <v>1.4</v>
      </c>
      <c r="J141" s="110">
        <v>0.77</v>
      </c>
      <c r="K141" s="108" t="s">
        <v>511</v>
      </c>
      <c r="L141" s="108" t="s">
        <v>511</v>
      </c>
      <c r="M141" s="77" t="s">
        <v>511</v>
      </c>
      <c r="N141" s="85">
        <v>1.3</v>
      </c>
      <c r="O141" s="73">
        <v>2.4</v>
      </c>
      <c r="P141" s="73">
        <v>0.123</v>
      </c>
      <c r="Q141" s="73" t="s">
        <v>511</v>
      </c>
      <c r="R141" s="73" t="s">
        <v>511</v>
      </c>
      <c r="S141" s="108" t="s">
        <v>511</v>
      </c>
      <c r="T141" s="73" t="s">
        <v>511</v>
      </c>
      <c r="U141" s="22"/>
    </row>
    <row r="142" spans="1:21" s="8" customFormat="1" ht="13.5">
      <c r="A142" s="69" t="s">
        <v>158</v>
      </c>
      <c r="B142" s="70">
        <v>0.008</v>
      </c>
      <c r="C142" s="71" t="s">
        <v>510</v>
      </c>
      <c r="D142" s="72" t="s">
        <v>511</v>
      </c>
      <c r="E142" s="72" t="s">
        <v>511</v>
      </c>
      <c r="F142" s="73" t="s">
        <v>511</v>
      </c>
      <c r="G142" s="73" t="s">
        <v>511</v>
      </c>
      <c r="H142" s="73" t="s">
        <v>511</v>
      </c>
      <c r="I142" s="73" t="s">
        <v>511</v>
      </c>
      <c r="J142" s="73" t="s">
        <v>511</v>
      </c>
      <c r="K142" s="73" t="s">
        <v>511</v>
      </c>
      <c r="L142" s="77" t="s">
        <v>511</v>
      </c>
      <c r="M142" s="73" t="s">
        <v>511</v>
      </c>
      <c r="N142" s="73" t="s">
        <v>511</v>
      </c>
      <c r="O142" s="73" t="s">
        <v>511</v>
      </c>
      <c r="P142" s="73" t="s">
        <v>511</v>
      </c>
      <c r="Q142" s="73" t="s">
        <v>511</v>
      </c>
      <c r="R142" s="73" t="s">
        <v>511</v>
      </c>
      <c r="S142" s="85">
        <v>0.065</v>
      </c>
      <c r="T142" s="70">
        <v>0.008</v>
      </c>
      <c r="U142" s="22"/>
    </row>
    <row r="143" spans="1:21" s="9" customFormat="1" ht="12.75">
      <c r="A143" s="69" t="s">
        <v>597</v>
      </c>
      <c r="B143" s="70">
        <v>730</v>
      </c>
      <c r="C143" s="71" t="s">
        <v>510</v>
      </c>
      <c r="D143" s="72" t="s">
        <v>511</v>
      </c>
      <c r="E143" s="72" t="s">
        <v>511</v>
      </c>
      <c r="F143" s="73" t="s">
        <v>511</v>
      </c>
      <c r="G143" s="73" t="s">
        <v>511</v>
      </c>
      <c r="H143" s="73" t="s">
        <v>511</v>
      </c>
      <c r="I143" s="73" t="s">
        <v>511</v>
      </c>
      <c r="J143" s="73" t="s">
        <v>511</v>
      </c>
      <c r="K143" s="74">
        <v>6500</v>
      </c>
      <c r="L143" s="70">
        <v>730</v>
      </c>
      <c r="M143" s="73" t="s">
        <v>511</v>
      </c>
      <c r="N143" s="73" t="s">
        <v>511</v>
      </c>
      <c r="O143" s="73" t="s">
        <v>511</v>
      </c>
      <c r="P143" s="73" t="s">
        <v>511</v>
      </c>
      <c r="Q143" s="74">
        <v>10000</v>
      </c>
      <c r="R143" s="78" t="s">
        <v>511</v>
      </c>
      <c r="S143" s="77" t="s">
        <v>511</v>
      </c>
      <c r="T143" s="77" t="s">
        <v>511</v>
      </c>
      <c r="U143" s="23"/>
    </row>
    <row r="144" spans="1:21" s="8" customFormat="1" ht="12.75">
      <c r="A144" s="92" t="s">
        <v>598</v>
      </c>
      <c r="B144" s="70">
        <v>940</v>
      </c>
      <c r="C144" s="71" t="s">
        <v>510</v>
      </c>
      <c r="D144" s="72" t="s">
        <v>511</v>
      </c>
      <c r="E144" s="72" t="s">
        <v>511</v>
      </c>
      <c r="F144" s="89" t="s">
        <v>511</v>
      </c>
      <c r="G144" s="89" t="s">
        <v>511</v>
      </c>
      <c r="H144" s="73" t="s">
        <v>511</v>
      </c>
      <c r="I144" s="73" t="s">
        <v>511</v>
      </c>
      <c r="J144" s="73" t="s">
        <v>511</v>
      </c>
      <c r="K144" s="74">
        <v>8500</v>
      </c>
      <c r="L144" s="70">
        <v>940</v>
      </c>
      <c r="M144" s="78">
        <v>26000</v>
      </c>
      <c r="N144" s="78">
        <v>2200</v>
      </c>
      <c r="O144" s="78">
        <v>19300</v>
      </c>
      <c r="P144" s="78">
        <v>1930</v>
      </c>
      <c r="Q144" s="85">
        <v>98.1</v>
      </c>
      <c r="R144" s="73" t="s">
        <v>511</v>
      </c>
      <c r="S144" s="77" t="s">
        <v>511</v>
      </c>
      <c r="T144" s="77" t="s">
        <v>511</v>
      </c>
      <c r="U144" s="22"/>
    </row>
    <row r="145" spans="1:21" s="8" customFormat="1" ht="12.75">
      <c r="A145" s="69" t="s">
        <v>599</v>
      </c>
      <c r="B145" s="90">
        <v>7.8</v>
      </c>
      <c r="C145" s="71" t="s">
        <v>510</v>
      </c>
      <c r="D145" s="72" t="s">
        <v>511</v>
      </c>
      <c r="E145" s="72" t="s">
        <v>511</v>
      </c>
      <c r="F145" s="73" t="s">
        <v>511</v>
      </c>
      <c r="G145" s="73" t="s">
        <v>511</v>
      </c>
      <c r="H145" s="73" t="s">
        <v>511</v>
      </c>
      <c r="I145" s="73" t="s">
        <v>511</v>
      </c>
      <c r="J145" s="73" t="s">
        <v>511</v>
      </c>
      <c r="K145" s="73" t="s">
        <v>511</v>
      </c>
      <c r="L145" s="73" t="s">
        <v>511</v>
      </c>
      <c r="M145" s="73" t="s">
        <v>511</v>
      </c>
      <c r="N145" s="73" t="s">
        <v>511</v>
      </c>
      <c r="O145" s="73" t="s">
        <v>511</v>
      </c>
      <c r="P145" s="73" t="s">
        <v>511</v>
      </c>
      <c r="Q145" s="90">
        <v>7.8</v>
      </c>
      <c r="R145" s="137" t="s">
        <v>511</v>
      </c>
      <c r="S145" s="73" t="s">
        <v>511</v>
      </c>
      <c r="T145" s="73" t="s">
        <v>511</v>
      </c>
      <c r="U145" s="22"/>
    </row>
    <row r="146" spans="1:21" s="8" customFormat="1" ht="12.75">
      <c r="A146" s="69" t="s">
        <v>600</v>
      </c>
      <c r="B146" s="122">
        <v>1</v>
      </c>
      <c r="C146" s="71" t="s">
        <v>510</v>
      </c>
      <c r="D146" s="72" t="s">
        <v>511</v>
      </c>
      <c r="E146" s="72" t="s">
        <v>511</v>
      </c>
      <c r="F146" s="73" t="s">
        <v>511</v>
      </c>
      <c r="G146" s="73" t="s">
        <v>511</v>
      </c>
      <c r="H146" s="73" t="s">
        <v>511</v>
      </c>
      <c r="I146" s="73" t="s">
        <v>511</v>
      </c>
      <c r="J146" s="73" t="s">
        <v>511</v>
      </c>
      <c r="K146" s="73" t="s">
        <v>511</v>
      </c>
      <c r="L146" s="73" t="s">
        <v>511</v>
      </c>
      <c r="M146" s="73" t="s">
        <v>511</v>
      </c>
      <c r="N146" s="73" t="s">
        <v>511</v>
      </c>
      <c r="O146" s="73" t="s">
        <v>511</v>
      </c>
      <c r="P146" s="73" t="s">
        <v>511</v>
      </c>
      <c r="Q146" s="122">
        <v>1</v>
      </c>
      <c r="R146" s="123" t="s">
        <v>511</v>
      </c>
      <c r="S146" s="73" t="s">
        <v>511</v>
      </c>
      <c r="T146" s="73" t="s">
        <v>511</v>
      </c>
      <c r="U146" s="22"/>
    </row>
    <row r="147" spans="1:21" s="8" customFormat="1" ht="24">
      <c r="A147" s="69" t="s">
        <v>601</v>
      </c>
      <c r="B147" s="137">
        <v>0.001</v>
      </c>
      <c r="C147" s="71" t="s">
        <v>510</v>
      </c>
      <c r="D147" s="80" t="s">
        <v>511</v>
      </c>
      <c r="E147" s="80" t="s">
        <v>511</v>
      </c>
      <c r="F147" s="89" t="s">
        <v>511</v>
      </c>
      <c r="G147" s="137">
        <v>0.001</v>
      </c>
      <c r="H147" s="118" t="s">
        <v>570</v>
      </c>
      <c r="I147" s="89" t="s">
        <v>511</v>
      </c>
      <c r="J147" s="89">
        <v>0.001</v>
      </c>
      <c r="K147" s="73" t="s">
        <v>511</v>
      </c>
      <c r="L147" s="73" t="s">
        <v>511</v>
      </c>
      <c r="M147" s="73" t="s">
        <v>511</v>
      </c>
      <c r="N147" s="73" t="s">
        <v>511</v>
      </c>
      <c r="O147" s="73" t="s">
        <v>511</v>
      </c>
      <c r="P147" s="73">
        <v>0.001</v>
      </c>
      <c r="Q147" s="73" t="s">
        <v>511</v>
      </c>
      <c r="R147" s="73" t="s">
        <v>511</v>
      </c>
      <c r="S147" s="73" t="s">
        <v>511</v>
      </c>
      <c r="T147" s="73" t="s">
        <v>511</v>
      </c>
      <c r="U147" s="22"/>
    </row>
    <row r="148" spans="1:21" s="10" customFormat="1" ht="12.75">
      <c r="A148" s="69" t="s">
        <v>184</v>
      </c>
      <c r="B148" s="70">
        <v>800</v>
      </c>
      <c r="C148" s="71" t="s">
        <v>510</v>
      </c>
      <c r="D148" s="72" t="s">
        <v>511</v>
      </c>
      <c r="E148" s="72" t="s">
        <v>511</v>
      </c>
      <c r="F148" s="73" t="s">
        <v>511</v>
      </c>
      <c r="G148" s="73" t="s">
        <v>511</v>
      </c>
      <c r="H148" s="73" t="s">
        <v>511</v>
      </c>
      <c r="I148" s="73" t="s">
        <v>511</v>
      </c>
      <c r="J148" s="73" t="s">
        <v>511</v>
      </c>
      <c r="K148" s="74">
        <v>7200</v>
      </c>
      <c r="L148" s="70">
        <v>800</v>
      </c>
      <c r="M148" s="78">
        <v>16000</v>
      </c>
      <c r="N148" s="85">
        <v>370</v>
      </c>
      <c r="O148" s="73" t="s">
        <v>511</v>
      </c>
      <c r="P148" s="73" t="s">
        <v>511</v>
      </c>
      <c r="Q148" s="85">
        <v>73</v>
      </c>
      <c r="R148" s="73" t="s">
        <v>511</v>
      </c>
      <c r="S148" s="77" t="s">
        <v>511</v>
      </c>
      <c r="T148" s="77" t="s">
        <v>511</v>
      </c>
      <c r="U148" s="24"/>
    </row>
    <row r="149" spans="1:21" s="8" customFormat="1" ht="12.75">
      <c r="A149" s="69" t="s">
        <v>602</v>
      </c>
      <c r="B149" s="90">
        <v>13</v>
      </c>
      <c r="C149" s="71" t="s">
        <v>510</v>
      </c>
      <c r="D149" s="72" t="s">
        <v>511</v>
      </c>
      <c r="E149" s="72" t="s">
        <v>511</v>
      </c>
      <c r="F149" s="73" t="s">
        <v>511</v>
      </c>
      <c r="G149" s="73" t="s">
        <v>511</v>
      </c>
      <c r="H149" s="73" t="s">
        <v>511</v>
      </c>
      <c r="I149" s="73" t="s">
        <v>511</v>
      </c>
      <c r="J149" s="73" t="s">
        <v>511</v>
      </c>
      <c r="K149" s="85">
        <v>100</v>
      </c>
      <c r="L149" s="70">
        <v>13</v>
      </c>
      <c r="M149" s="85">
        <v>190</v>
      </c>
      <c r="N149" s="85">
        <v>12</v>
      </c>
      <c r="O149" s="85">
        <v>230</v>
      </c>
      <c r="P149" s="85">
        <v>62</v>
      </c>
      <c r="Q149" s="85">
        <v>1.1</v>
      </c>
      <c r="R149" s="73" t="s">
        <v>511</v>
      </c>
      <c r="S149" s="73" t="s">
        <v>511</v>
      </c>
      <c r="T149" s="73" t="s">
        <v>511</v>
      </c>
      <c r="U149" s="22"/>
    </row>
    <row r="150" spans="1:21" s="8" customFormat="1" ht="36">
      <c r="A150" s="69" t="s">
        <v>603</v>
      </c>
      <c r="B150" s="128">
        <f>(EXP(0.846*LN(175)+0.0584))*0.997</f>
        <v>83.49647579506586</v>
      </c>
      <c r="C150" s="71" t="s">
        <v>510</v>
      </c>
      <c r="D150" s="125">
        <f>EXP(0.846*(LN(175))+2.255)*0.998</f>
        <v>751.75233749507</v>
      </c>
      <c r="E150" s="128">
        <f>EXP(0.846*(LN(175))+0.0584)*0.997</f>
        <v>83.49647579506586</v>
      </c>
      <c r="F150" s="125">
        <f>EXP(0.846*(LN(175))+2.255)*0.998</f>
        <v>751.75233749507</v>
      </c>
      <c r="G150" s="128">
        <f>EXP(0.846*(LN(175))+0.0584)*0.997</f>
        <v>83.49647579506586</v>
      </c>
      <c r="H150" s="118" t="s">
        <v>545</v>
      </c>
      <c r="I150" s="125">
        <f>EXP(0.846*(LN(175))+2.255)*0.998</f>
        <v>751.75233749507</v>
      </c>
      <c r="J150" s="125">
        <f>EXP(0.846*(LN(175))+0.0584)*0.997</f>
        <v>83.49647579506586</v>
      </c>
      <c r="K150" s="99">
        <f>(EXP((0.846*(LN(175)))+2.255))*0.998</f>
        <v>751.75233749507</v>
      </c>
      <c r="L150" s="99">
        <f>(EXP(0.846*(LN(175))+0.0584))*0.997</f>
        <v>83.49647579506586</v>
      </c>
      <c r="M150" s="76" t="s">
        <v>511</v>
      </c>
      <c r="N150" s="76" t="s">
        <v>511</v>
      </c>
      <c r="O150" s="76" t="s">
        <v>511</v>
      </c>
      <c r="P150" s="76" t="s">
        <v>511</v>
      </c>
      <c r="Q150" s="76" t="s">
        <v>511</v>
      </c>
      <c r="R150" s="76" t="s">
        <v>511</v>
      </c>
      <c r="S150" s="76" t="s">
        <v>511</v>
      </c>
      <c r="T150" s="76" t="s">
        <v>511</v>
      </c>
      <c r="U150" s="22"/>
    </row>
    <row r="151" spans="1:21" s="8" customFormat="1" ht="12.75">
      <c r="A151" s="69" t="s">
        <v>604</v>
      </c>
      <c r="B151" s="128">
        <f>G151</f>
        <v>83.74771895192163</v>
      </c>
      <c r="C151" s="71" t="s">
        <v>510</v>
      </c>
      <c r="D151" s="125">
        <f>EXP(0.846*(LN(175))+2.255)</f>
        <v>753.258855205481</v>
      </c>
      <c r="E151" s="128">
        <f>EXP(0.846*(LN(175))+0.0584)</f>
        <v>83.74771895192163</v>
      </c>
      <c r="F151" s="125">
        <f>EXP(0.846*(LN(175))+2.255)</f>
        <v>753.258855205481</v>
      </c>
      <c r="G151" s="128">
        <f>EXP(0.846*(LN(175))+0.0584)</f>
        <v>83.74771895192163</v>
      </c>
      <c r="H151" s="118" t="s">
        <v>540</v>
      </c>
      <c r="I151" s="125">
        <f>EXP(0.846*(LN(175))+2.255)</f>
        <v>753.258855205481</v>
      </c>
      <c r="J151" s="125">
        <f>EXP(0.846*(LN(175))+0.0584)</f>
        <v>83.74771895192163</v>
      </c>
      <c r="K151" s="99">
        <f>(EXP((0.846*(LN(175)))+2.255))</f>
        <v>753.258855205481</v>
      </c>
      <c r="L151" s="99">
        <f>(EXP(0.846*(LN(175))+0.0584))</f>
        <v>83.74771895192163</v>
      </c>
      <c r="M151" s="73" t="s">
        <v>511</v>
      </c>
      <c r="N151" s="73" t="s">
        <v>511</v>
      </c>
      <c r="O151" s="73">
        <v>789</v>
      </c>
      <c r="P151" s="73">
        <v>87.71</v>
      </c>
      <c r="Q151" s="73" t="s">
        <v>511</v>
      </c>
      <c r="R151" s="73" t="s">
        <v>511</v>
      </c>
      <c r="S151" s="73" t="s">
        <v>511</v>
      </c>
      <c r="T151" s="73" t="s">
        <v>511</v>
      </c>
      <c r="U151" s="22"/>
    </row>
    <row r="152" spans="1:21" s="8" customFormat="1" ht="12.75">
      <c r="A152" s="69" t="s">
        <v>605</v>
      </c>
      <c r="B152" s="70">
        <v>220</v>
      </c>
      <c r="C152" s="71" t="s">
        <v>510</v>
      </c>
      <c r="D152" s="72" t="s">
        <v>511</v>
      </c>
      <c r="E152" s="72" t="s">
        <v>511</v>
      </c>
      <c r="F152" s="73" t="s">
        <v>511</v>
      </c>
      <c r="G152" s="77" t="s">
        <v>511</v>
      </c>
      <c r="H152" s="73" t="s">
        <v>511</v>
      </c>
      <c r="I152" s="73" t="s">
        <v>511</v>
      </c>
      <c r="J152" s="73" t="s">
        <v>511</v>
      </c>
      <c r="K152" s="74">
        <v>1000</v>
      </c>
      <c r="L152" s="70">
        <v>220</v>
      </c>
      <c r="M152" s="73" t="s">
        <v>511</v>
      </c>
      <c r="N152" s="73" t="s">
        <v>511</v>
      </c>
      <c r="O152" s="78">
        <v>2700</v>
      </c>
      <c r="P152" s="85">
        <v>270</v>
      </c>
      <c r="Q152" s="73" t="s">
        <v>511</v>
      </c>
      <c r="R152" s="73" t="s">
        <v>511</v>
      </c>
      <c r="S152" s="77" t="s">
        <v>511</v>
      </c>
      <c r="T152" s="77" t="s">
        <v>511</v>
      </c>
      <c r="U152" s="22"/>
    </row>
    <row r="153" spans="1:21" s="8" customFormat="1" ht="12.75">
      <c r="A153" s="69" t="s">
        <v>606</v>
      </c>
      <c r="B153" s="90">
        <v>58.5</v>
      </c>
      <c r="C153" s="71" t="s">
        <v>510</v>
      </c>
      <c r="D153" s="72" t="s">
        <v>511</v>
      </c>
      <c r="E153" s="72" t="s">
        <v>511</v>
      </c>
      <c r="F153" s="73" t="s">
        <v>511</v>
      </c>
      <c r="G153" s="77" t="s">
        <v>511</v>
      </c>
      <c r="H153" s="73" t="s">
        <v>511</v>
      </c>
      <c r="I153" s="73" t="s">
        <v>511</v>
      </c>
      <c r="J153" s="73" t="s">
        <v>511</v>
      </c>
      <c r="K153" s="78" t="s">
        <v>511</v>
      </c>
      <c r="L153" s="77" t="s">
        <v>511</v>
      </c>
      <c r="M153" s="78">
        <v>3800</v>
      </c>
      <c r="N153" s="98">
        <v>210</v>
      </c>
      <c r="O153" s="98">
        <v>585</v>
      </c>
      <c r="P153" s="70">
        <v>58.5</v>
      </c>
      <c r="Q153" s="73" t="s">
        <v>511</v>
      </c>
      <c r="R153" s="73" t="s">
        <v>511</v>
      </c>
      <c r="S153" s="77" t="s">
        <v>511</v>
      </c>
      <c r="T153" s="77" t="s">
        <v>511</v>
      </c>
      <c r="U153" s="22"/>
    </row>
    <row r="154" spans="1:21" s="8" customFormat="1" ht="12.75">
      <c r="A154" s="69" t="s">
        <v>607</v>
      </c>
      <c r="B154" s="70">
        <v>0.001</v>
      </c>
      <c r="C154" s="71" t="s">
        <v>510</v>
      </c>
      <c r="D154" s="120">
        <v>1.1</v>
      </c>
      <c r="E154" s="70">
        <v>0.001</v>
      </c>
      <c r="F154" s="73" t="s">
        <v>511</v>
      </c>
      <c r="G154" s="77" t="s">
        <v>511</v>
      </c>
      <c r="H154" s="73" t="s">
        <v>511</v>
      </c>
      <c r="I154" s="109" t="s">
        <v>511</v>
      </c>
      <c r="J154" s="109" t="s">
        <v>511</v>
      </c>
      <c r="K154" s="109" t="s">
        <v>511</v>
      </c>
      <c r="L154" s="109" t="s">
        <v>511</v>
      </c>
      <c r="M154" s="120">
        <v>0.19</v>
      </c>
      <c r="N154" s="120">
        <v>0.011</v>
      </c>
      <c r="O154" s="120">
        <v>0.064</v>
      </c>
      <c r="P154" s="132">
        <v>0.0064</v>
      </c>
      <c r="Q154" s="73" t="s">
        <v>511</v>
      </c>
      <c r="R154" s="73" t="s">
        <v>511</v>
      </c>
      <c r="S154" s="109" t="s">
        <v>511</v>
      </c>
      <c r="T154" s="109" t="s">
        <v>511</v>
      </c>
      <c r="U154" s="22"/>
    </row>
    <row r="155" spans="1:21" s="8" customFormat="1" ht="12.75">
      <c r="A155" s="69" t="s">
        <v>608</v>
      </c>
      <c r="B155" s="70">
        <v>0.001</v>
      </c>
      <c r="C155" s="71" t="s">
        <v>510</v>
      </c>
      <c r="D155" s="120">
        <v>1.1</v>
      </c>
      <c r="E155" s="70">
        <v>0.001</v>
      </c>
      <c r="F155" s="73" t="s">
        <v>511</v>
      </c>
      <c r="G155" s="77" t="s">
        <v>511</v>
      </c>
      <c r="H155" s="73" t="s">
        <v>511</v>
      </c>
      <c r="I155" s="109" t="s">
        <v>511</v>
      </c>
      <c r="J155" s="109" t="s">
        <v>511</v>
      </c>
      <c r="K155" s="109" t="s">
        <v>511</v>
      </c>
      <c r="L155" s="109" t="s">
        <v>511</v>
      </c>
      <c r="M155" s="109" t="s">
        <v>511</v>
      </c>
      <c r="N155" s="109" t="s">
        <v>511</v>
      </c>
      <c r="O155" s="74">
        <v>105</v>
      </c>
      <c r="P155" s="99">
        <v>10.5</v>
      </c>
      <c r="Q155" s="73" t="s">
        <v>511</v>
      </c>
      <c r="R155" s="73" t="s">
        <v>511</v>
      </c>
      <c r="S155" s="109" t="s">
        <v>511</v>
      </c>
      <c r="T155" s="109" t="s">
        <v>511</v>
      </c>
      <c r="U155" s="22"/>
    </row>
    <row r="156" spans="1:21" s="8" customFormat="1" ht="36">
      <c r="A156" s="69" t="s">
        <v>609</v>
      </c>
      <c r="B156" s="70">
        <v>0.001</v>
      </c>
      <c r="C156" s="71" t="s">
        <v>510</v>
      </c>
      <c r="D156" s="99">
        <v>1.1</v>
      </c>
      <c r="E156" s="70">
        <v>0.001</v>
      </c>
      <c r="F156" s="99">
        <v>1.1</v>
      </c>
      <c r="G156" s="70">
        <v>0.001</v>
      </c>
      <c r="H156" s="244" t="s">
        <v>545</v>
      </c>
      <c r="I156" s="99">
        <v>1.1</v>
      </c>
      <c r="J156" s="120">
        <v>0.001</v>
      </c>
      <c r="K156" s="120">
        <v>0.029</v>
      </c>
      <c r="L156" s="132">
        <v>0.0032</v>
      </c>
      <c r="M156" s="109" t="s">
        <v>511</v>
      </c>
      <c r="N156" s="120">
        <v>0.013</v>
      </c>
      <c r="O156" s="99">
        <v>1.1</v>
      </c>
      <c r="P156" s="120">
        <v>0.001</v>
      </c>
      <c r="Q156" s="73" t="s">
        <v>511</v>
      </c>
      <c r="R156" s="73" t="s">
        <v>511</v>
      </c>
      <c r="S156" s="73" t="s">
        <v>511</v>
      </c>
      <c r="T156" s="73" t="s">
        <v>511</v>
      </c>
      <c r="U156" s="22"/>
    </row>
    <row r="157" spans="1:21" s="8" customFormat="1" ht="36">
      <c r="A157" s="69" t="s">
        <v>610</v>
      </c>
      <c r="B157" s="70">
        <v>0.013</v>
      </c>
      <c r="C157" s="71" t="s">
        <v>510</v>
      </c>
      <c r="D157" s="80" t="s">
        <v>511</v>
      </c>
      <c r="E157" s="80" t="s">
        <v>511</v>
      </c>
      <c r="F157" s="85">
        <v>0.065</v>
      </c>
      <c r="G157" s="70">
        <v>0.013</v>
      </c>
      <c r="H157" s="118" t="s">
        <v>203</v>
      </c>
      <c r="I157" s="120">
        <v>0.065</v>
      </c>
      <c r="J157" s="120">
        <v>0.013</v>
      </c>
      <c r="K157" s="120">
        <v>0.065</v>
      </c>
      <c r="L157" s="120">
        <v>0.013</v>
      </c>
      <c r="M157" s="109" t="s">
        <v>511</v>
      </c>
      <c r="N157" s="109" t="s">
        <v>511</v>
      </c>
      <c r="O157" s="120">
        <v>0.065</v>
      </c>
      <c r="P157" s="120">
        <v>0.013</v>
      </c>
      <c r="Q157" s="73" t="s">
        <v>511</v>
      </c>
      <c r="R157" s="73" t="s">
        <v>511</v>
      </c>
      <c r="S157" s="73" t="s">
        <v>511</v>
      </c>
      <c r="T157" s="73" t="s">
        <v>511</v>
      </c>
      <c r="U157" s="22"/>
    </row>
    <row r="158" spans="1:21" s="8" customFormat="1" ht="48">
      <c r="A158" s="69" t="s">
        <v>611</v>
      </c>
      <c r="B158" s="70">
        <v>0.014</v>
      </c>
      <c r="C158" s="71" t="s">
        <v>510</v>
      </c>
      <c r="D158" s="80" t="s">
        <v>511</v>
      </c>
      <c r="E158" s="104">
        <v>0.014</v>
      </c>
      <c r="F158" s="76">
        <v>2</v>
      </c>
      <c r="G158" s="70">
        <v>0.014</v>
      </c>
      <c r="H158" s="118" t="s">
        <v>815</v>
      </c>
      <c r="I158" s="109" t="s">
        <v>511</v>
      </c>
      <c r="J158" s="120">
        <v>0.014</v>
      </c>
      <c r="K158" s="109" t="s">
        <v>511</v>
      </c>
      <c r="L158" s="109" t="s">
        <v>511</v>
      </c>
      <c r="M158" s="109" t="s">
        <v>511</v>
      </c>
      <c r="N158" s="110">
        <v>0.14</v>
      </c>
      <c r="O158" s="109" t="s">
        <v>511</v>
      </c>
      <c r="P158" s="109" t="s">
        <v>511</v>
      </c>
      <c r="Q158" s="73" t="s">
        <v>511</v>
      </c>
      <c r="R158" s="73" t="s">
        <v>511</v>
      </c>
      <c r="S158" s="73" t="s">
        <v>511</v>
      </c>
      <c r="T158" s="73" t="s">
        <v>511</v>
      </c>
      <c r="U158" s="22"/>
    </row>
    <row r="159" spans="1:21" s="8" customFormat="1" ht="36">
      <c r="A159" s="69" t="s">
        <v>612</v>
      </c>
      <c r="B159" s="77">
        <v>4.24</v>
      </c>
      <c r="C159" s="71" t="s">
        <v>510</v>
      </c>
      <c r="D159" s="138" t="s">
        <v>511</v>
      </c>
      <c r="E159" s="72" t="s">
        <v>511</v>
      </c>
      <c r="F159" s="108">
        <f>(EXP(1.005*(6.7)-4.869))</f>
        <v>6.4527087249057296</v>
      </c>
      <c r="G159" s="245">
        <v>4.24</v>
      </c>
      <c r="H159" s="118" t="s">
        <v>204</v>
      </c>
      <c r="I159" s="85">
        <v>19</v>
      </c>
      <c r="J159" s="85">
        <v>15</v>
      </c>
      <c r="K159" s="73" t="s">
        <v>511</v>
      </c>
      <c r="L159" s="73" t="s">
        <v>511</v>
      </c>
      <c r="M159" s="73" t="s">
        <v>511</v>
      </c>
      <c r="N159" s="73" t="s">
        <v>511</v>
      </c>
      <c r="O159" s="73" t="s">
        <v>511</v>
      </c>
      <c r="P159" s="73" t="s">
        <v>511</v>
      </c>
      <c r="Q159" s="73">
        <v>0.5</v>
      </c>
      <c r="R159" s="73" t="s">
        <v>511</v>
      </c>
      <c r="S159" s="73" t="s">
        <v>511</v>
      </c>
      <c r="T159" s="73" t="s">
        <v>511</v>
      </c>
      <c r="U159" s="22"/>
    </row>
    <row r="160" spans="1:21" s="8" customFormat="1" ht="12.75">
      <c r="A160" s="69" t="s">
        <v>613</v>
      </c>
      <c r="B160" s="102" t="s">
        <v>614</v>
      </c>
      <c r="C160" s="139" t="s">
        <v>615</v>
      </c>
      <c r="D160" s="85" t="s">
        <v>614</v>
      </c>
      <c r="E160" s="73" t="s">
        <v>511</v>
      </c>
      <c r="F160" s="73" t="s">
        <v>511</v>
      </c>
      <c r="G160" s="73" t="s">
        <v>511</v>
      </c>
      <c r="H160" s="73" t="s">
        <v>511</v>
      </c>
      <c r="I160" s="73" t="s">
        <v>511</v>
      </c>
      <c r="J160" s="85" t="s">
        <v>616</v>
      </c>
      <c r="K160" s="73" t="s">
        <v>511</v>
      </c>
      <c r="L160" s="73" t="s">
        <v>511</v>
      </c>
      <c r="M160" s="73" t="s">
        <v>511</v>
      </c>
      <c r="N160" s="73" t="s">
        <v>511</v>
      </c>
      <c r="O160" s="73" t="s">
        <v>511</v>
      </c>
      <c r="P160" s="73" t="s">
        <v>511</v>
      </c>
      <c r="Q160" s="73" t="s">
        <v>511</v>
      </c>
      <c r="R160" s="73" t="s">
        <v>511</v>
      </c>
      <c r="S160" s="73" t="s">
        <v>511</v>
      </c>
      <c r="T160" s="73" t="s">
        <v>511</v>
      </c>
      <c r="U160" s="22"/>
    </row>
    <row r="161" spans="1:21" s="8" customFormat="1" ht="12.75">
      <c r="A161" s="69" t="s">
        <v>617</v>
      </c>
      <c r="B161" s="70">
        <v>2.4</v>
      </c>
      <c r="C161" s="71" t="s">
        <v>510</v>
      </c>
      <c r="D161" s="72" t="s">
        <v>511</v>
      </c>
      <c r="E161" s="72" t="s">
        <v>511</v>
      </c>
      <c r="F161" s="73" t="s">
        <v>511</v>
      </c>
      <c r="G161" s="73" t="s">
        <v>511</v>
      </c>
      <c r="H161" s="73" t="s">
        <v>511</v>
      </c>
      <c r="I161" s="73" t="s">
        <v>511</v>
      </c>
      <c r="J161" s="73" t="s">
        <v>511</v>
      </c>
      <c r="K161" s="98">
        <v>21</v>
      </c>
      <c r="L161" s="70">
        <v>2.4</v>
      </c>
      <c r="M161" s="73" t="s">
        <v>511</v>
      </c>
      <c r="N161" s="73" t="s">
        <v>511</v>
      </c>
      <c r="O161" s="73" t="s">
        <v>511</v>
      </c>
      <c r="P161" s="73" t="s">
        <v>511</v>
      </c>
      <c r="Q161" s="85">
        <v>0.4</v>
      </c>
      <c r="R161" s="73" t="s">
        <v>511</v>
      </c>
      <c r="S161" s="77" t="s">
        <v>511</v>
      </c>
      <c r="T161" s="77" t="s">
        <v>511</v>
      </c>
      <c r="U161" s="22"/>
    </row>
    <row r="162" spans="1:21" s="8" customFormat="1" ht="12.75">
      <c r="A162" s="69" t="s">
        <v>618</v>
      </c>
      <c r="B162" s="70">
        <v>450</v>
      </c>
      <c r="C162" s="71" t="s">
        <v>510</v>
      </c>
      <c r="D162" s="80" t="s">
        <v>511</v>
      </c>
      <c r="E162" s="80" t="s">
        <v>511</v>
      </c>
      <c r="F162" s="89" t="s">
        <v>511</v>
      </c>
      <c r="G162" s="73" t="s">
        <v>511</v>
      </c>
      <c r="H162" s="81" t="s">
        <v>511</v>
      </c>
      <c r="I162" s="73" t="s">
        <v>511</v>
      </c>
      <c r="J162" s="73" t="s">
        <v>511</v>
      </c>
      <c r="K162" s="74">
        <v>3400</v>
      </c>
      <c r="L162" s="70">
        <v>450</v>
      </c>
      <c r="M162" s="78" t="s">
        <v>511</v>
      </c>
      <c r="N162" s="73" t="s">
        <v>511</v>
      </c>
      <c r="O162" s="78">
        <v>1020</v>
      </c>
      <c r="P162" s="85">
        <v>256</v>
      </c>
      <c r="Q162" s="85">
        <v>4</v>
      </c>
      <c r="R162" s="73" t="s">
        <v>511</v>
      </c>
      <c r="S162" s="77" t="s">
        <v>511</v>
      </c>
      <c r="T162" s="77" t="s">
        <v>511</v>
      </c>
      <c r="U162" s="22"/>
    </row>
    <row r="163" spans="1:21" s="8" customFormat="1" ht="12.75">
      <c r="A163" s="69" t="s">
        <v>619</v>
      </c>
      <c r="B163" s="90">
        <v>46</v>
      </c>
      <c r="C163" s="71" t="s">
        <v>510</v>
      </c>
      <c r="D163" s="80" t="s">
        <v>511</v>
      </c>
      <c r="E163" s="80" t="s">
        <v>511</v>
      </c>
      <c r="F163" s="73" t="s">
        <v>511</v>
      </c>
      <c r="G163" s="73" t="s">
        <v>511</v>
      </c>
      <c r="H163" s="81" t="s">
        <v>511</v>
      </c>
      <c r="I163" s="73" t="s">
        <v>511</v>
      </c>
      <c r="J163" s="73" t="s">
        <v>511</v>
      </c>
      <c r="K163" s="85">
        <v>290</v>
      </c>
      <c r="L163" s="70">
        <v>46</v>
      </c>
      <c r="M163" s="78" t="s">
        <v>511</v>
      </c>
      <c r="N163" s="73" t="s">
        <v>511</v>
      </c>
      <c r="O163" s="73" t="s">
        <v>511</v>
      </c>
      <c r="P163" s="73" t="s">
        <v>511</v>
      </c>
      <c r="Q163" s="91">
        <v>29</v>
      </c>
      <c r="R163" s="89" t="s">
        <v>511</v>
      </c>
      <c r="S163" s="77" t="s">
        <v>511</v>
      </c>
      <c r="T163" s="77" t="s">
        <v>511</v>
      </c>
      <c r="U163" s="22"/>
    </row>
    <row r="164" spans="1:21" s="8" customFormat="1" ht="12.75">
      <c r="A164" s="69" t="s">
        <v>620</v>
      </c>
      <c r="B164" s="90">
        <v>0.025</v>
      </c>
      <c r="C164" s="71" t="s">
        <v>510</v>
      </c>
      <c r="D164" s="80" t="s">
        <v>511</v>
      </c>
      <c r="E164" s="80" t="s">
        <v>511</v>
      </c>
      <c r="F164" s="73" t="s">
        <v>511</v>
      </c>
      <c r="G164" s="73" t="s">
        <v>511</v>
      </c>
      <c r="H164" s="81" t="s">
        <v>511</v>
      </c>
      <c r="I164" s="73" t="s">
        <v>511</v>
      </c>
      <c r="J164" s="73" t="s">
        <v>511</v>
      </c>
      <c r="K164" s="78" t="s">
        <v>511</v>
      </c>
      <c r="L164" s="77" t="s">
        <v>511</v>
      </c>
      <c r="M164" s="78" t="s">
        <v>511</v>
      </c>
      <c r="N164" s="73" t="s">
        <v>511</v>
      </c>
      <c r="O164" s="73" t="s">
        <v>511</v>
      </c>
      <c r="P164" s="73" t="s">
        <v>511</v>
      </c>
      <c r="Q164" s="90">
        <v>0.025</v>
      </c>
      <c r="R164" s="137" t="s">
        <v>511</v>
      </c>
      <c r="S164" s="77" t="s">
        <v>511</v>
      </c>
      <c r="T164" s="77" t="s">
        <v>511</v>
      </c>
      <c r="U164" s="22"/>
    </row>
    <row r="165" spans="1:21" s="8" customFormat="1" ht="12.75">
      <c r="A165" s="69" t="s">
        <v>621</v>
      </c>
      <c r="B165" s="70">
        <v>85</v>
      </c>
      <c r="C165" s="71" t="s">
        <v>510</v>
      </c>
      <c r="D165" s="72" t="s">
        <v>511</v>
      </c>
      <c r="E165" s="72" t="s">
        <v>511</v>
      </c>
      <c r="F165" s="73" t="s">
        <v>511</v>
      </c>
      <c r="G165" s="73" t="s">
        <v>511</v>
      </c>
      <c r="H165" s="73" t="s">
        <v>511</v>
      </c>
      <c r="I165" s="73" t="s">
        <v>511</v>
      </c>
      <c r="J165" s="73" t="s">
        <v>511</v>
      </c>
      <c r="K165" s="85">
        <v>400</v>
      </c>
      <c r="L165" s="70">
        <v>85</v>
      </c>
      <c r="M165" s="73" t="s">
        <v>511</v>
      </c>
      <c r="N165" s="73" t="s">
        <v>511</v>
      </c>
      <c r="O165" s="73" t="s">
        <v>511</v>
      </c>
      <c r="P165" s="73" t="s">
        <v>511</v>
      </c>
      <c r="Q165" s="73" t="s">
        <v>511</v>
      </c>
      <c r="R165" s="73" t="s">
        <v>511</v>
      </c>
      <c r="S165" s="77" t="s">
        <v>511</v>
      </c>
      <c r="T165" s="77" t="s">
        <v>511</v>
      </c>
      <c r="U165" s="22"/>
    </row>
    <row r="166" spans="1:21" s="8" customFormat="1" ht="48">
      <c r="A166" s="69" t="s">
        <v>622</v>
      </c>
      <c r="B166" s="100">
        <v>1.844</v>
      </c>
      <c r="C166" s="71" t="s">
        <v>510</v>
      </c>
      <c r="D166" s="72">
        <f>D167*0.996</f>
        <v>19.92</v>
      </c>
      <c r="E166" s="104">
        <f>5*0.922</f>
        <v>4.61</v>
      </c>
      <c r="F166" s="73">
        <f>F167*0.996</f>
        <v>19.92</v>
      </c>
      <c r="G166" s="100">
        <f>G167*0.922</f>
        <v>1.844</v>
      </c>
      <c r="H166" s="118" t="s">
        <v>816</v>
      </c>
      <c r="I166" s="73" t="s">
        <v>511</v>
      </c>
      <c r="J166" s="85">
        <f>5*0.922</f>
        <v>4.61</v>
      </c>
      <c r="K166" s="73" t="s">
        <v>511</v>
      </c>
      <c r="L166" s="73" t="s">
        <v>511</v>
      </c>
      <c r="M166" s="73" t="s">
        <v>511</v>
      </c>
      <c r="N166" s="73" t="s">
        <v>511</v>
      </c>
      <c r="O166" s="73" t="s">
        <v>511</v>
      </c>
      <c r="P166" s="73" t="s">
        <v>511</v>
      </c>
      <c r="Q166" s="73" t="s">
        <v>511</v>
      </c>
      <c r="R166" s="73" t="s">
        <v>511</v>
      </c>
      <c r="S166" s="73" t="s">
        <v>511</v>
      </c>
      <c r="T166" s="73" t="s">
        <v>511</v>
      </c>
      <c r="U166" s="22"/>
    </row>
    <row r="167" spans="1:21" s="8" customFormat="1" ht="48">
      <c r="A167" s="69" t="s">
        <v>623</v>
      </c>
      <c r="B167" s="70">
        <v>2</v>
      </c>
      <c r="C167" s="71" t="s">
        <v>510</v>
      </c>
      <c r="D167" s="104">
        <v>20</v>
      </c>
      <c r="E167" s="104">
        <v>5</v>
      </c>
      <c r="F167" s="85">
        <v>20</v>
      </c>
      <c r="G167" s="70">
        <v>2</v>
      </c>
      <c r="H167" s="118" t="s">
        <v>816</v>
      </c>
      <c r="I167" s="73" t="s">
        <v>511</v>
      </c>
      <c r="J167" s="85">
        <v>5</v>
      </c>
      <c r="K167" s="140" t="s">
        <v>159</v>
      </c>
      <c r="L167" s="140" t="s">
        <v>160</v>
      </c>
      <c r="M167" s="73" t="s">
        <v>511</v>
      </c>
      <c r="N167" s="73" t="s">
        <v>511</v>
      </c>
      <c r="O167" s="85">
        <v>20</v>
      </c>
      <c r="P167" s="85">
        <v>5</v>
      </c>
      <c r="Q167" s="85">
        <v>1</v>
      </c>
      <c r="R167" s="73" t="s">
        <v>511</v>
      </c>
      <c r="S167" s="73" t="s">
        <v>511</v>
      </c>
      <c r="T167" s="73" t="s">
        <v>511</v>
      </c>
      <c r="U167" s="22"/>
    </row>
    <row r="168" spans="1:21" s="8" customFormat="1" ht="36">
      <c r="A168" s="69" t="s">
        <v>624</v>
      </c>
      <c r="B168" s="124">
        <f>(EXP(1.72*LN(175)-6.59))*0.85</f>
        <v>8.422552635332517</v>
      </c>
      <c r="C168" s="71" t="s">
        <v>510</v>
      </c>
      <c r="D168" s="124">
        <f>(EXP((1.72*LN(175))-6.59))*0.85</f>
        <v>8.422552635332517</v>
      </c>
      <c r="E168" s="80" t="s">
        <v>511</v>
      </c>
      <c r="F168" s="73" t="s">
        <v>511</v>
      </c>
      <c r="G168" s="73" t="s">
        <v>511</v>
      </c>
      <c r="H168" s="118" t="s">
        <v>545</v>
      </c>
      <c r="I168" s="125">
        <f>EXP(1.72*(LN(175))-6.59)*0.85</f>
        <v>8.422552635332517</v>
      </c>
      <c r="J168" s="73" t="s">
        <v>511</v>
      </c>
      <c r="K168" s="73" t="s">
        <v>511</v>
      </c>
      <c r="L168" s="73" t="s">
        <v>511</v>
      </c>
      <c r="M168" s="73" t="s">
        <v>511</v>
      </c>
      <c r="N168" s="73" t="s">
        <v>511</v>
      </c>
      <c r="O168" s="73" t="s">
        <v>511</v>
      </c>
      <c r="P168" s="73" t="s">
        <v>511</v>
      </c>
      <c r="Q168" s="73" t="s">
        <v>511</v>
      </c>
      <c r="R168" s="73" t="s">
        <v>511</v>
      </c>
      <c r="S168" s="73" t="s">
        <v>511</v>
      </c>
      <c r="T168" s="73" t="s">
        <v>511</v>
      </c>
      <c r="U168" s="22"/>
    </row>
    <row r="169" spans="1:21" s="8" customFormat="1" ht="36">
      <c r="A169" s="69" t="s">
        <v>625</v>
      </c>
      <c r="B169" s="124">
        <v>9.03</v>
      </c>
      <c r="C169" s="71" t="s">
        <v>510</v>
      </c>
      <c r="D169" s="106">
        <f>(EXP((1.72*LN(175))-6.59))</f>
        <v>9.908885453332374</v>
      </c>
      <c r="E169" s="72" t="s">
        <v>511</v>
      </c>
      <c r="F169" s="100">
        <v>9.03342760506769</v>
      </c>
      <c r="G169" s="73" t="s">
        <v>511</v>
      </c>
      <c r="H169" s="118" t="s">
        <v>545</v>
      </c>
      <c r="I169" s="106">
        <f>EXP(1.72*(LN(175))-6.59)</f>
        <v>9.908885453332374</v>
      </c>
      <c r="J169" s="73" t="s">
        <v>511</v>
      </c>
      <c r="K169" s="85">
        <v>0.54</v>
      </c>
      <c r="L169" s="70">
        <v>0.06</v>
      </c>
      <c r="M169" s="73" t="s">
        <v>511</v>
      </c>
      <c r="N169" s="73" t="s">
        <v>511</v>
      </c>
      <c r="O169" s="85">
        <v>1.23</v>
      </c>
      <c r="P169" s="110">
        <v>0.012</v>
      </c>
      <c r="Q169" s="99">
        <v>0.1</v>
      </c>
      <c r="R169" s="76" t="s">
        <v>511</v>
      </c>
      <c r="S169" s="77" t="s">
        <v>511</v>
      </c>
      <c r="T169" s="77" t="s">
        <v>511</v>
      </c>
      <c r="U169" s="22"/>
    </row>
    <row r="170" spans="1:21" s="8" customFormat="1" ht="12.75">
      <c r="A170" s="69" t="s">
        <v>626</v>
      </c>
      <c r="B170" s="70">
        <v>30</v>
      </c>
      <c r="C170" s="71" t="s">
        <v>510</v>
      </c>
      <c r="D170" s="72" t="s">
        <v>511</v>
      </c>
      <c r="E170" s="72" t="s">
        <v>511</v>
      </c>
      <c r="F170" s="73" t="s">
        <v>511</v>
      </c>
      <c r="G170" s="73" t="s">
        <v>511</v>
      </c>
      <c r="H170" s="73" t="s">
        <v>511</v>
      </c>
      <c r="I170" s="73" t="s">
        <v>511</v>
      </c>
      <c r="J170" s="73" t="s">
        <v>511</v>
      </c>
      <c r="K170" s="85">
        <v>270</v>
      </c>
      <c r="L170" s="70">
        <v>30</v>
      </c>
      <c r="M170" s="73" t="s">
        <v>511</v>
      </c>
      <c r="N170" s="73" t="s">
        <v>511</v>
      </c>
      <c r="O170" s="73" t="s">
        <v>511</v>
      </c>
      <c r="P170" s="73" t="s">
        <v>511</v>
      </c>
      <c r="Q170" s="73" t="s">
        <v>511</v>
      </c>
      <c r="R170" s="73" t="s">
        <v>511</v>
      </c>
      <c r="S170" s="77" t="s">
        <v>511</v>
      </c>
      <c r="T170" s="77" t="s">
        <v>511</v>
      </c>
      <c r="U170" s="22"/>
    </row>
    <row r="171" spans="1:21" s="8" customFormat="1" ht="12.75">
      <c r="A171" s="69" t="s">
        <v>627</v>
      </c>
      <c r="B171" s="70">
        <v>10</v>
      </c>
      <c r="C171" s="71" t="s">
        <v>510</v>
      </c>
      <c r="D171" s="72" t="s">
        <v>511</v>
      </c>
      <c r="E171" s="72" t="s">
        <v>511</v>
      </c>
      <c r="F171" s="73" t="s">
        <v>511</v>
      </c>
      <c r="G171" s="73" t="s">
        <v>511</v>
      </c>
      <c r="H171" s="73" t="s">
        <v>511</v>
      </c>
      <c r="I171" s="73" t="s">
        <v>511</v>
      </c>
      <c r="J171" s="73" t="s">
        <v>511</v>
      </c>
      <c r="K171" s="73" t="s">
        <v>511</v>
      </c>
      <c r="L171" s="77" t="s">
        <v>511</v>
      </c>
      <c r="M171" s="73" t="s">
        <v>511</v>
      </c>
      <c r="N171" s="73" t="s">
        <v>511</v>
      </c>
      <c r="O171" s="73" t="s">
        <v>511</v>
      </c>
      <c r="P171" s="73" t="s">
        <v>511</v>
      </c>
      <c r="Q171" s="70">
        <v>10</v>
      </c>
      <c r="R171" s="77" t="s">
        <v>511</v>
      </c>
      <c r="S171" s="77" t="s">
        <v>511</v>
      </c>
      <c r="T171" s="77" t="s">
        <v>511</v>
      </c>
      <c r="U171" s="22"/>
    </row>
    <row r="172" spans="1:21" s="8" customFormat="1" ht="12.75">
      <c r="A172" s="69" t="s">
        <v>628</v>
      </c>
      <c r="B172" s="75">
        <v>8300</v>
      </c>
      <c r="C172" s="71" t="s">
        <v>510</v>
      </c>
      <c r="D172" s="72" t="s">
        <v>511</v>
      </c>
      <c r="E172" s="72" t="s">
        <v>511</v>
      </c>
      <c r="F172" s="73" t="s">
        <v>511</v>
      </c>
      <c r="G172" s="73" t="s">
        <v>511</v>
      </c>
      <c r="H172" s="73" t="s">
        <v>511</v>
      </c>
      <c r="I172" s="73" t="s">
        <v>511</v>
      </c>
      <c r="J172" s="73" t="s">
        <v>511</v>
      </c>
      <c r="K172" s="74">
        <v>75000</v>
      </c>
      <c r="L172" s="75">
        <v>8300</v>
      </c>
      <c r="M172" s="74">
        <v>15000</v>
      </c>
      <c r="N172" s="74">
        <v>1500</v>
      </c>
      <c r="O172" s="73" t="s">
        <v>511</v>
      </c>
      <c r="P172" s="73" t="s">
        <v>511</v>
      </c>
      <c r="Q172" s="73" t="s">
        <v>511</v>
      </c>
      <c r="R172" s="73" t="s">
        <v>511</v>
      </c>
      <c r="S172" s="82" t="s">
        <v>511</v>
      </c>
      <c r="T172" s="82" t="s">
        <v>511</v>
      </c>
      <c r="U172" s="22"/>
    </row>
    <row r="173" spans="1:21" s="8" customFormat="1" ht="12.75">
      <c r="A173" s="69" t="s">
        <v>629</v>
      </c>
      <c r="B173" s="70">
        <v>160</v>
      </c>
      <c r="C173" s="71" t="s">
        <v>510</v>
      </c>
      <c r="D173" s="72" t="s">
        <v>511</v>
      </c>
      <c r="E173" s="72" t="s">
        <v>511</v>
      </c>
      <c r="F173" s="73" t="s">
        <v>511</v>
      </c>
      <c r="G173" s="73" t="s">
        <v>511</v>
      </c>
      <c r="H173" s="73" t="s">
        <v>511</v>
      </c>
      <c r="I173" s="73" t="s">
        <v>511</v>
      </c>
      <c r="J173" s="73" t="s">
        <v>511</v>
      </c>
      <c r="K173" s="74">
        <v>1400</v>
      </c>
      <c r="L173" s="70">
        <v>160</v>
      </c>
      <c r="M173" s="73" t="s">
        <v>511</v>
      </c>
      <c r="N173" s="73" t="s">
        <v>511</v>
      </c>
      <c r="O173" s="73" t="s">
        <v>511</v>
      </c>
      <c r="P173" s="73" t="s">
        <v>511</v>
      </c>
      <c r="Q173" s="85">
        <v>72</v>
      </c>
      <c r="R173" s="73" t="s">
        <v>511</v>
      </c>
      <c r="S173" s="77" t="s">
        <v>511</v>
      </c>
      <c r="T173" s="77" t="s">
        <v>511</v>
      </c>
      <c r="U173" s="22"/>
    </row>
    <row r="174" spans="1:21" s="8" customFormat="1" ht="12.75">
      <c r="A174" s="69" t="s">
        <v>630</v>
      </c>
      <c r="B174" s="70">
        <v>1.6</v>
      </c>
      <c r="C174" s="71" t="s">
        <v>510</v>
      </c>
      <c r="D174" s="72" t="s">
        <v>511</v>
      </c>
      <c r="E174" s="72" t="s">
        <v>511</v>
      </c>
      <c r="F174" s="73" t="s">
        <v>511</v>
      </c>
      <c r="G174" s="73" t="s">
        <v>511</v>
      </c>
      <c r="H174" s="73" t="s">
        <v>511</v>
      </c>
      <c r="I174" s="73" t="s">
        <v>511</v>
      </c>
      <c r="J174" s="73" t="s">
        <v>511</v>
      </c>
      <c r="K174" s="78" t="s">
        <v>511</v>
      </c>
      <c r="L174" s="77" t="s">
        <v>511</v>
      </c>
      <c r="M174" s="73" t="s">
        <v>511</v>
      </c>
      <c r="N174" s="73" t="s">
        <v>511</v>
      </c>
      <c r="O174" s="73" t="s">
        <v>511</v>
      </c>
      <c r="P174" s="73" t="s">
        <v>511</v>
      </c>
      <c r="Q174" s="70">
        <v>1.6</v>
      </c>
      <c r="R174" s="77" t="s">
        <v>511</v>
      </c>
      <c r="S174" s="77" t="s">
        <v>511</v>
      </c>
      <c r="T174" s="77" t="s">
        <v>511</v>
      </c>
      <c r="U174" s="22"/>
    </row>
    <row r="175" spans="1:21" s="8" customFormat="1" ht="12.75">
      <c r="A175" s="69" t="s">
        <v>775</v>
      </c>
      <c r="B175" s="70">
        <v>190</v>
      </c>
      <c r="C175" s="71" t="s">
        <v>510</v>
      </c>
      <c r="D175" s="72" t="s">
        <v>511</v>
      </c>
      <c r="E175" s="72" t="s">
        <v>511</v>
      </c>
      <c r="F175" s="73" t="s">
        <v>511</v>
      </c>
      <c r="G175" s="73" t="s">
        <v>511</v>
      </c>
      <c r="H175" s="73" t="s">
        <v>511</v>
      </c>
      <c r="I175" s="73" t="s">
        <v>511</v>
      </c>
      <c r="J175" s="73" t="s">
        <v>511</v>
      </c>
      <c r="K175" s="74">
        <v>1400</v>
      </c>
      <c r="L175" s="70">
        <v>190</v>
      </c>
      <c r="M175" s="85">
        <v>830</v>
      </c>
      <c r="N175" s="85">
        <v>98</v>
      </c>
      <c r="O175" s="85">
        <v>528</v>
      </c>
      <c r="P175" s="85">
        <v>84</v>
      </c>
      <c r="Q175" s="73" t="s">
        <v>511</v>
      </c>
      <c r="R175" s="73" t="s">
        <v>511</v>
      </c>
      <c r="S175" s="77" t="s">
        <v>511</v>
      </c>
      <c r="T175" s="77" t="s">
        <v>511</v>
      </c>
      <c r="U175" s="22"/>
    </row>
    <row r="176" spans="1:21" s="8" customFormat="1" ht="12.75">
      <c r="A176" s="69" t="s">
        <v>632</v>
      </c>
      <c r="B176" s="75">
        <v>11000</v>
      </c>
      <c r="C176" s="71" t="s">
        <v>510</v>
      </c>
      <c r="D176" s="72" t="s">
        <v>511</v>
      </c>
      <c r="E176" s="72" t="s">
        <v>511</v>
      </c>
      <c r="F176" s="73" t="s">
        <v>511</v>
      </c>
      <c r="G176" s="73" t="s">
        <v>511</v>
      </c>
      <c r="H176" s="73" t="s">
        <v>511</v>
      </c>
      <c r="I176" s="73" t="s">
        <v>511</v>
      </c>
      <c r="J176" s="73" t="s">
        <v>511</v>
      </c>
      <c r="K176" s="74">
        <v>74000</v>
      </c>
      <c r="L176" s="75">
        <v>11000</v>
      </c>
      <c r="M176" s="73" t="s">
        <v>511</v>
      </c>
      <c r="N176" s="73" t="s">
        <v>511</v>
      </c>
      <c r="O176" s="73" t="s">
        <v>511</v>
      </c>
      <c r="P176" s="73" t="s">
        <v>511</v>
      </c>
      <c r="Q176" s="73" t="s">
        <v>511</v>
      </c>
      <c r="R176" s="73" t="s">
        <v>511</v>
      </c>
      <c r="S176" s="73" t="s">
        <v>511</v>
      </c>
      <c r="T176" s="73" t="s">
        <v>511</v>
      </c>
      <c r="U176" s="22"/>
    </row>
    <row r="177" spans="1:21" s="8" customFormat="1" ht="12.75">
      <c r="A177" s="69" t="s">
        <v>633</v>
      </c>
      <c r="B177" s="70">
        <v>10</v>
      </c>
      <c r="C177" s="71" t="s">
        <v>510</v>
      </c>
      <c r="D177" s="72" t="s">
        <v>511</v>
      </c>
      <c r="E177" s="72" t="s">
        <v>511</v>
      </c>
      <c r="F177" s="73" t="s">
        <v>511</v>
      </c>
      <c r="G177" s="73" t="s">
        <v>511</v>
      </c>
      <c r="H177" s="73" t="s">
        <v>511</v>
      </c>
      <c r="I177" s="73" t="s">
        <v>511</v>
      </c>
      <c r="J177" s="73" t="s">
        <v>511</v>
      </c>
      <c r="K177" s="85">
        <v>78</v>
      </c>
      <c r="L177" s="70">
        <v>10</v>
      </c>
      <c r="M177" s="85">
        <v>110</v>
      </c>
      <c r="N177" s="85">
        <v>12</v>
      </c>
      <c r="O177" s="73" t="s">
        <v>511</v>
      </c>
      <c r="P177" s="73" t="s">
        <v>511</v>
      </c>
      <c r="Q177" s="85">
        <v>0.8</v>
      </c>
      <c r="R177" s="73" t="s">
        <v>511</v>
      </c>
      <c r="S177" s="77" t="s">
        <v>511</v>
      </c>
      <c r="T177" s="77" t="s">
        <v>511</v>
      </c>
      <c r="U177" s="22"/>
    </row>
    <row r="178" spans="1:21" s="8" customFormat="1" ht="12.75">
      <c r="A178" s="69" t="s">
        <v>634</v>
      </c>
      <c r="B178" s="70">
        <v>73</v>
      </c>
      <c r="C178" s="71" t="s">
        <v>510</v>
      </c>
      <c r="D178" s="72" t="s">
        <v>511</v>
      </c>
      <c r="E178" s="72" t="s">
        <v>511</v>
      </c>
      <c r="F178" s="73" t="s">
        <v>511</v>
      </c>
      <c r="G178" s="73" t="s">
        <v>511</v>
      </c>
      <c r="H178" s="73" t="s">
        <v>511</v>
      </c>
      <c r="I178" s="73" t="s">
        <v>511</v>
      </c>
      <c r="J178" s="73" t="s">
        <v>511</v>
      </c>
      <c r="K178" s="73" t="s">
        <v>511</v>
      </c>
      <c r="L178" s="73" t="s">
        <v>511</v>
      </c>
      <c r="M178" s="74">
        <v>2700</v>
      </c>
      <c r="N178" s="70">
        <v>73</v>
      </c>
      <c r="O178" s="73" t="s">
        <v>511</v>
      </c>
      <c r="P178" s="73" t="s">
        <v>511</v>
      </c>
      <c r="Q178" s="73" t="s">
        <v>511</v>
      </c>
      <c r="R178" s="73" t="s">
        <v>511</v>
      </c>
      <c r="S178" s="73" t="s">
        <v>511</v>
      </c>
      <c r="T178" s="73" t="s">
        <v>511</v>
      </c>
      <c r="U178" s="22"/>
    </row>
    <row r="179" spans="1:21" s="8" customFormat="1" ht="12.75">
      <c r="A179" s="92" t="s">
        <v>635</v>
      </c>
      <c r="B179" s="70">
        <v>100</v>
      </c>
      <c r="C179" s="85" t="s">
        <v>510</v>
      </c>
      <c r="D179" s="73" t="s">
        <v>511</v>
      </c>
      <c r="E179" s="73" t="s">
        <v>511</v>
      </c>
      <c r="F179" s="73" t="s">
        <v>511</v>
      </c>
      <c r="G179" s="73" t="s">
        <v>511</v>
      </c>
      <c r="H179" s="73" t="s">
        <v>511</v>
      </c>
      <c r="I179" s="73" t="s">
        <v>511</v>
      </c>
      <c r="J179" s="73" t="s">
        <v>511</v>
      </c>
      <c r="K179" s="73" t="s">
        <v>511</v>
      </c>
      <c r="L179" s="73" t="s">
        <v>511</v>
      </c>
      <c r="M179" s="73" t="s">
        <v>511</v>
      </c>
      <c r="N179" s="73" t="s">
        <v>511</v>
      </c>
      <c r="O179" s="73" t="s">
        <v>511</v>
      </c>
      <c r="P179" s="73" t="s">
        <v>511</v>
      </c>
      <c r="Q179" s="73" t="s">
        <v>511</v>
      </c>
      <c r="R179" s="70">
        <v>100</v>
      </c>
      <c r="S179" s="73" t="s">
        <v>511</v>
      </c>
      <c r="T179" s="73" t="s">
        <v>511</v>
      </c>
      <c r="U179" s="22"/>
    </row>
    <row r="180" spans="1:21" s="8" customFormat="1" ht="12.75">
      <c r="A180" s="69" t="s">
        <v>636</v>
      </c>
      <c r="B180" s="70">
        <v>140</v>
      </c>
      <c r="C180" s="71" t="s">
        <v>510</v>
      </c>
      <c r="D180" s="80" t="s">
        <v>511</v>
      </c>
      <c r="E180" s="80" t="s">
        <v>511</v>
      </c>
      <c r="F180" s="73" t="s">
        <v>511</v>
      </c>
      <c r="G180" s="73" t="s">
        <v>511</v>
      </c>
      <c r="H180" s="81" t="s">
        <v>511</v>
      </c>
      <c r="I180" s="73" t="s">
        <v>511</v>
      </c>
      <c r="J180" s="73" t="s">
        <v>511</v>
      </c>
      <c r="K180" s="85">
        <v>840</v>
      </c>
      <c r="L180" s="70">
        <v>140</v>
      </c>
      <c r="M180" s="85">
        <v>120</v>
      </c>
      <c r="N180" s="85">
        <v>9.8</v>
      </c>
      <c r="O180" s="78">
        <v>1750</v>
      </c>
      <c r="P180" s="85">
        <v>175</v>
      </c>
      <c r="Q180" s="99">
        <v>2</v>
      </c>
      <c r="R180" s="76" t="s">
        <v>511</v>
      </c>
      <c r="S180" s="77" t="s">
        <v>511</v>
      </c>
      <c r="T180" s="77" t="s">
        <v>511</v>
      </c>
      <c r="U180" s="22"/>
    </row>
    <row r="181" spans="1:21" s="8" customFormat="1" ht="36">
      <c r="A181" s="69" t="s">
        <v>637</v>
      </c>
      <c r="B181" s="70">
        <v>0.0002</v>
      </c>
      <c r="C181" s="71" t="s">
        <v>510</v>
      </c>
      <c r="D181" s="110">
        <v>0.73</v>
      </c>
      <c r="E181" s="70">
        <v>0.0002</v>
      </c>
      <c r="F181" s="110">
        <v>0.73</v>
      </c>
      <c r="G181" s="70">
        <v>0.0002</v>
      </c>
      <c r="H181" s="118" t="s">
        <v>203</v>
      </c>
      <c r="I181" s="110">
        <v>0.73</v>
      </c>
      <c r="J181" s="132">
        <v>0.0002</v>
      </c>
      <c r="K181" s="110">
        <v>0.15</v>
      </c>
      <c r="L181" s="120">
        <v>0.005</v>
      </c>
      <c r="M181" s="134" t="s">
        <v>511</v>
      </c>
      <c r="N181" s="134" t="s">
        <v>511</v>
      </c>
      <c r="O181" s="110">
        <v>0.73</v>
      </c>
      <c r="P181" s="141">
        <v>0.00025</v>
      </c>
      <c r="Q181" s="134" t="s">
        <v>511</v>
      </c>
      <c r="R181" s="134" t="s">
        <v>511</v>
      </c>
      <c r="S181" s="134" t="s">
        <v>511</v>
      </c>
      <c r="T181" s="134" t="s">
        <v>511</v>
      </c>
      <c r="U181" s="22"/>
    </row>
    <row r="182" spans="1:21" s="8" customFormat="1" ht="12.75">
      <c r="A182" s="69" t="s">
        <v>777</v>
      </c>
      <c r="B182" s="70">
        <v>140</v>
      </c>
      <c r="C182" s="71" t="s">
        <v>510</v>
      </c>
      <c r="D182" s="72" t="s">
        <v>511</v>
      </c>
      <c r="E182" s="72" t="s">
        <v>511</v>
      </c>
      <c r="F182" s="73" t="s">
        <v>511</v>
      </c>
      <c r="G182" s="73" t="s">
        <v>511</v>
      </c>
      <c r="H182" s="73" t="s">
        <v>511</v>
      </c>
      <c r="I182" s="73" t="s">
        <v>511</v>
      </c>
      <c r="J182" s="73" t="s">
        <v>511</v>
      </c>
      <c r="K182" s="74">
        <v>14000</v>
      </c>
      <c r="L182" s="75">
        <v>1500</v>
      </c>
      <c r="M182" s="73" t="s">
        <v>511</v>
      </c>
      <c r="N182" s="73" t="s">
        <v>511</v>
      </c>
      <c r="O182" s="78">
        <v>13500</v>
      </c>
      <c r="P182" s="78">
        <v>1350</v>
      </c>
      <c r="Q182" s="73" t="s">
        <v>511</v>
      </c>
      <c r="R182" s="73" t="s">
        <v>511</v>
      </c>
      <c r="S182" s="82" t="s">
        <v>511</v>
      </c>
      <c r="T182" s="82" t="s">
        <v>511</v>
      </c>
      <c r="U182" s="22"/>
    </row>
    <row r="183" spans="1:21" s="8" customFormat="1" ht="12.75">
      <c r="A183" s="69" t="s">
        <v>638</v>
      </c>
      <c r="B183" s="70">
        <v>0.24</v>
      </c>
      <c r="C183" s="71" t="s">
        <v>510</v>
      </c>
      <c r="D183" s="72" t="s">
        <v>511</v>
      </c>
      <c r="E183" s="72" t="s">
        <v>511</v>
      </c>
      <c r="F183" s="73" t="s">
        <v>511</v>
      </c>
      <c r="G183" s="73" t="s">
        <v>511</v>
      </c>
      <c r="H183" s="73" t="s">
        <v>511</v>
      </c>
      <c r="I183" s="73" t="s">
        <v>511</v>
      </c>
      <c r="J183" s="73" t="s">
        <v>511</v>
      </c>
      <c r="K183" s="78" t="s">
        <v>511</v>
      </c>
      <c r="L183" s="82" t="s">
        <v>511</v>
      </c>
      <c r="M183" s="73" t="s">
        <v>511</v>
      </c>
      <c r="N183" s="73" t="s">
        <v>511</v>
      </c>
      <c r="O183" s="73" t="s">
        <v>511</v>
      </c>
      <c r="P183" s="73" t="s">
        <v>511</v>
      </c>
      <c r="Q183" s="70">
        <v>0.24</v>
      </c>
      <c r="R183" s="77" t="s">
        <v>511</v>
      </c>
      <c r="S183" s="82" t="s">
        <v>511</v>
      </c>
      <c r="T183" s="82" t="s">
        <v>511</v>
      </c>
      <c r="U183" s="22"/>
    </row>
    <row r="184" spans="1:21" s="8" customFormat="1" ht="12.75">
      <c r="A184" s="69" t="s">
        <v>778</v>
      </c>
      <c r="B184" s="70">
        <v>200</v>
      </c>
      <c r="C184" s="71" t="s">
        <v>510</v>
      </c>
      <c r="D184" s="72" t="s">
        <v>511</v>
      </c>
      <c r="E184" s="72" t="s">
        <v>511</v>
      </c>
      <c r="F184" s="73" t="s">
        <v>511</v>
      </c>
      <c r="G184" s="73" t="s">
        <v>511</v>
      </c>
      <c r="H184" s="73" t="s">
        <v>511</v>
      </c>
      <c r="I184" s="73" t="s">
        <v>511</v>
      </c>
      <c r="J184" s="73" t="s">
        <v>511</v>
      </c>
      <c r="K184" s="74">
        <v>1800</v>
      </c>
      <c r="L184" s="70">
        <v>200</v>
      </c>
      <c r="M184" s="85">
        <v>440</v>
      </c>
      <c r="N184" s="85">
        <v>47</v>
      </c>
      <c r="O184" s="73" t="s">
        <v>511</v>
      </c>
      <c r="P184" s="73" t="s">
        <v>511</v>
      </c>
      <c r="Q184" s="77" t="s">
        <v>511</v>
      </c>
      <c r="R184" s="77" t="s">
        <v>511</v>
      </c>
      <c r="S184" s="77" t="s">
        <v>511</v>
      </c>
      <c r="T184" s="77" t="s">
        <v>511</v>
      </c>
      <c r="U184" s="22"/>
    </row>
    <row r="185" spans="1:21" s="10" customFormat="1" ht="12.75">
      <c r="A185" s="69" t="s">
        <v>639</v>
      </c>
      <c r="B185" s="90">
        <v>0.2</v>
      </c>
      <c r="C185" s="71" t="s">
        <v>510</v>
      </c>
      <c r="D185" s="72" t="s">
        <v>511</v>
      </c>
      <c r="E185" s="72" t="s">
        <v>511</v>
      </c>
      <c r="F185" s="73" t="s">
        <v>511</v>
      </c>
      <c r="G185" s="73" t="s">
        <v>511</v>
      </c>
      <c r="H185" s="73" t="s">
        <v>511</v>
      </c>
      <c r="I185" s="73" t="s">
        <v>511</v>
      </c>
      <c r="J185" s="73" t="s">
        <v>511</v>
      </c>
      <c r="K185" s="78" t="s">
        <v>511</v>
      </c>
      <c r="L185" s="77" t="s">
        <v>511</v>
      </c>
      <c r="M185" s="73" t="s">
        <v>511</v>
      </c>
      <c r="N185" s="73" t="s">
        <v>511</v>
      </c>
      <c r="O185" s="73" t="s">
        <v>511</v>
      </c>
      <c r="P185" s="73" t="s">
        <v>511</v>
      </c>
      <c r="Q185" s="122">
        <v>0.2</v>
      </c>
      <c r="R185" s="142" t="s">
        <v>511</v>
      </c>
      <c r="S185" s="77" t="s">
        <v>511</v>
      </c>
      <c r="T185" s="77" t="s">
        <v>511</v>
      </c>
      <c r="U185" s="24"/>
    </row>
    <row r="186" spans="1:21" s="8" customFormat="1" ht="12.75">
      <c r="A186" s="69" t="s">
        <v>182</v>
      </c>
      <c r="B186" s="70">
        <v>2.6</v>
      </c>
      <c r="C186" s="71" t="s">
        <v>510</v>
      </c>
      <c r="D186" s="72" t="s">
        <v>511</v>
      </c>
      <c r="E186" s="72" t="s">
        <v>511</v>
      </c>
      <c r="F186" s="73" t="s">
        <v>511</v>
      </c>
      <c r="G186" s="73" t="s">
        <v>511</v>
      </c>
      <c r="H186" s="73" t="s">
        <v>511</v>
      </c>
      <c r="I186" s="73" t="s">
        <v>511</v>
      </c>
      <c r="J186" s="73" t="s">
        <v>511</v>
      </c>
      <c r="K186" s="73" t="s">
        <v>511</v>
      </c>
      <c r="L186" s="73" t="s">
        <v>511</v>
      </c>
      <c r="M186" s="99">
        <v>46</v>
      </c>
      <c r="N186" s="70">
        <v>2.6</v>
      </c>
      <c r="O186" s="73" t="s">
        <v>511</v>
      </c>
      <c r="P186" s="73" t="s">
        <v>511</v>
      </c>
      <c r="Q186" s="73" t="s">
        <v>511</v>
      </c>
      <c r="R186" s="73" t="s">
        <v>511</v>
      </c>
      <c r="S186" s="73" t="s">
        <v>511</v>
      </c>
      <c r="T186" s="73" t="s">
        <v>511</v>
      </c>
      <c r="U186" s="22"/>
    </row>
    <row r="187" spans="1:21" s="8" customFormat="1" ht="12.75">
      <c r="A187" s="69" t="s">
        <v>640</v>
      </c>
      <c r="B187" s="70">
        <v>12</v>
      </c>
      <c r="C187" s="71" t="s">
        <v>510</v>
      </c>
      <c r="D187" s="72" t="s">
        <v>511</v>
      </c>
      <c r="E187" s="72" t="s">
        <v>511</v>
      </c>
      <c r="F187" s="73" t="s">
        <v>511</v>
      </c>
      <c r="G187" s="73" t="s">
        <v>511</v>
      </c>
      <c r="H187" s="73" t="s">
        <v>511</v>
      </c>
      <c r="I187" s="73" t="s">
        <v>511</v>
      </c>
      <c r="J187" s="73" t="s">
        <v>511</v>
      </c>
      <c r="K187" s="85">
        <v>110</v>
      </c>
      <c r="L187" s="70">
        <v>12</v>
      </c>
      <c r="M187" s="85">
        <v>280</v>
      </c>
      <c r="N187" s="85">
        <v>20</v>
      </c>
      <c r="O187" s="73" t="s">
        <v>511</v>
      </c>
      <c r="P187" s="73" t="s">
        <v>511</v>
      </c>
      <c r="Q187" s="73" t="s">
        <v>511</v>
      </c>
      <c r="R187" s="73" t="s">
        <v>511</v>
      </c>
      <c r="S187" s="77" t="s">
        <v>511</v>
      </c>
      <c r="T187" s="77" t="s">
        <v>511</v>
      </c>
      <c r="U187" s="22"/>
    </row>
    <row r="188" spans="1:21" s="8" customFormat="1" ht="12.75">
      <c r="A188" s="69" t="s">
        <v>641</v>
      </c>
      <c r="B188" s="70">
        <v>930</v>
      </c>
      <c r="C188" s="71" t="s">
        <v>510</v>
      </c>
      <c r="D188" s="72" t="s">
        <v>511</v>
      </c>
      <c r="E188" s="72" t="s">
        <v>511</v>
      </c>
      <c r="F188" s="73" t="s">
        <v>511</v>
      </c>
      <c r="G188" s="73" t="s">
        <v>511</v>
      </c>
      <c r="H188" s="73" t="s">
        <v>511</v>
      </c>
      <c r="I188" s="73" t="s">
        <v>511</v>
      </c>
      <c r="J188" s="73" t="s">
        <v>511</v>
      </c>
      <c r="K188" s="74">
        <v>8400</v>
      </c>
      <c r="L188" s="70">
        <v>930</v>
      </c>
      <c r="M188" s="73" t="s">
        <v>511</v>
      </c>
      <c r="N188" s="73" t="s">
        <v>511</v>
      </c>
      <c r="O188" s="73" t="s">
        <v>511</v>
      </c>
      <c r="P188" s="73" t="s">
        <v>511</v>
      </c>
      <c r="Q188" s="73" t="s">
        <v>511</v>
      </c>
      <c r="R188" s="73" t="s">
        <v>511</v>
      </c>
      <c r="S188" s="77" t="s">
        <v>511</v>
      </c>
      <c r="T188" s="77" t="s">
        <v>511</v>
      </c>
      <c r="U188" s="22"/>
    </row>
    <row r="189" spans="1:21" s="8" customFormat="1" ht="12.75">
      <c r="A189" s="69" t="s">
        <v>642</v>
      </c>
      <c r="B189" s="70">
        <v>35</v>
      </c>
      <c r="C189" s="71" t="s">
        <v>510</v>
      </c>
      <c r="D189" s="72" t="s">
        <v>511</v>
      </c>
      <c r="E189" s="72" t="s">
        <v>511</v>
      </c>
      <c r="F189" s="73" t="s">
        <v>511</v>
      </c>
      <c r="G189" s="73" t="s">
        <v>511</v>
      </c>
      <c r="H189" s="73" t="s">
        <v>511</v>
      </c>
      <c r="I189" s="73" t="s">
        <v>511</v>
      </c>
      <c r="J189" s="73" t="s">
        <v>511</v>
      </c>
      <c r="K189" s="85">
        <v>310</v>
      </c>
      <c r="L189" s="70">
        <v>35</v>
      </c>
      <c r="M189" s="85">
        <v>230</v>
      </c>
      <c r="N189" s="85">
        <v>13</v>
      </c>
      <c r="O189" s="73" t="s">
        <v>511</v>
      </c>
      <c r="P189" s="73" t="s">
        <v>511</v>
      </c>
      <c r="Q189" s="73" t="s">
        <v>511</v>
      </c>
      <c r="R189" s="73" t="s">
        <v>511</v>
      </c>
      <c r="S189" s="77" t="s">
        <v>511</v>
      </c>
      <c r="T189" s="77" t="s">
        <v>511</v>
      </c>
      <c r="U189" s="22"/>
    </row>
    <row r="190" spans="1:21" s="8" customFormat="1" ht="12.75">
      <c r="A190" s="69" t="s">
        <v>643</v>
      </c>
      <c r="B190" s="121">
        <v>170.293455162425</v>
      </c>
      <c r="C190" s="71" t="s">
        <v>510</v>
      </c>
      <c r="D190" s="110">
        <f>EXP(0.8473*(LN(175))+0.884)*0.986</f>
        <v>189.8101251795446</v>
      </c>
      <c r="E190" s="110">
        <f>(EXP(0.8473*(LN(175))+0.884))*0.978</f>
        <v>188.27008359593776</v>
      </c>
      <c r="F190" s="110">
        <v>188.01526488027508</v>
      </c>
      <c r="G190" s="121">
        <v>170.293455162425</v>
      </c>
      <c r="H190" s="118" t="s">
        <v>193</v>
      </c>
      <c r="I190" s="110">
        <f>EXP(0.8473*(LN(175))+0.884)*0.986</f>
        <v>189.8101251795446</v>
      </c>
      <c r="J190" s="110">
        <f>EXP(0.8473*(LN(175))+0.884)*0.978</f>
        <v>188.27008359593776</v>
      </c>
      <c r="K190" s="110">
        <f>(EXP(0.8473*(LN(175))+0.884))*0.986</f>
        <v>189.8101251795446</v>
      </c>
      <c r="L190" s="110">
        <f>(EXP(0.8473*(LN(175))+0.884))*0.978</f>
        <v>188.27008359593776</v>
      </c>
      <c r="M190" s="73" t="s">
        <v>511</v>
      </c>
      <c r="N190" s="73" t="s">
        <v>511</v>
      </c>
      <c r="O190" s="73" t="s">
        <v>511</v>
      </c>
      <c r="P190" s="73" t="s">
        <v>511</v>
      </c>
      <c r="Q190" s="88" t="s">
        <v>511</v>
      </c>
      <c r="R190" s="88" t="s">
        <v>511</v>
      </c>
      <c r="S190" s="88" t="s">
        <v>511</v>
      </c>
      <c r="T190" s="88" t="s">
        <v>511</v>
      </c>
      <c r="U190" s="22"/>
    </row>
    <row r="191" spans="1:21" s="8" customFormat="1" ht="12.75">
      <c r="A191" s="69" t="s">
        <v>644</v>
      </c>
      <c r="B191" s="121">
        <f>(EXP(0.8473*(LN(175))+0.884))</f>
        <v>192.5051979508566</v>
      </c>
      <c r="C191" s="71" t="s">
        <v>510</v>
      </c>
      <c r="D191" s="110">
        <f>(EXP(0.8473*(LN(175))+0.884))</f>
        <v>192.5051979508566</v>
      </c>
      <c r="E191" s="121">
        <f>(EXP(0.8473*(LN(175))+0.884))</f>
        <v>192.5051979508566</v>
      </c>
      <c r="F191" s="73" t="s">
        <v>511</v>
      </c>
      <c r="G191" s="73" t="s">
        <v>511</v>
      </c>
      <c r="H191" s="73" t="s">
        <v>511</v>
      </c>
      <c r="I191" s="110">
        <f>EXP(0.8473*(LN(175))+0.884)</f>
        <v>192.5051979508566</v>
      </c>
      <c r="J191" s="110">
        <f>EXP(0.8473*(LN(175))+0.884)</f>
        <v>192.5051979508566</v>
      </c>
      <c r="K191" s="110">
        <f>(EXP(0.8473*(LN(175))+0.884))</f>
        <v>192.5051979508566</v>
      </c>
      <c r="L191" s="110">
        <f>(EXP(0.8473*(LN(175))+0.884))</f>
        <v>192.5051979508566</v>
      </c>
      <c r="M191" s="73" t="s">
        <v>511</v>
      </c>
      <c r="N191" s="73" t="s">
        <v>511</v>
      </c>
      <c r="O191" s="73">
        <v>65.04</v>
      </c>
      <c r="P191" s="73">
        <v>58.91</v>
      </c>
      <c r="Q191" s="85">
        <v>30</v>
      </c>
      <c r="R191" s="73" t="s">
        <v>511</v>
      </c>
      <c r="S191" s="77" t="s">
        <v>511</v>
      </c>
      <c r="T191" s="77" t="s">
        <v>511</v>
      </c>
      <c r="U191" s="22"/>
    </row>
    <row r="192" spans="1:21" s="8" customFormat="1" ht="12.75">
      <c r="A192" s="18"/>
      <c r="B192" s="11"/>
      <c r="C192" s="11"/>
      <c r="D192" s="12"/>
      <c r="E192" s="12"/>
      <c r="F192"/>
      <c r="G192"/>
      <c r="H192"/>
      <c r="I192"/>
      <c r="J192"/>
      <c r="K192" s="11"/>
      <c r="L192" s="11"/>
      <c r="M192" s="11"/>
      <c r="N192" s="11"/>
      <c r="O192" s="11"/>
      <c r="P192" s="11"/>
      <c r="Q192" s="14"/>
      <c r="R192" s="14"/>
      <c r="S192" s="11"/>
      <c r="T192" s="18"/>
      <c r="U192" s="22"/>
    </row>
    <row r="193" spans="1:21" s="8" customFormat="1" ht="12.75">
      <c r="A193" s="45" t="s">
        <v>222</v>
      </c>
      <c r="B193" s="13"/>
      <c r="C193" s="13"/>
      <c r="D193" s="12"/>
      <c r="E193" s="12"/>
      <c r="F193"/>
      <c r="G193"/>
      <c r="H193"/>
      <c r="I193"/>
      <c r="J193"/>
      <c r="K193" s="11"/>
      <c r="L193" s="11"/>
      <c r="M193" s="11"/>
      <c r="N193" s="11"/>
      <c r="O193" s="11"/>
      <c r="P193" s="11"/>
      <c r="Q193" s="14"/>
      <c r="R193" s="14"/>
      <c r="S193" s="11"/>
      <c r="T193" s="18"/>
      <c r="U193" s="22"/>
    </row>
    <row r="194" spans="1:21" s="8" customFormat="1" ht="12.75">
      <c r="A194" s="50" t="s">
        <v>161</v>
      </c>
      <c r="B194" s="15"/>
      <c r="C194" s="15"/>
      <c r="D194" s="12"/>
      <c r="E194" s="12"/>
      <c r="F194"/>
      <c r="G194"/>
      <c r="H194"/>
      <c r="I194"/>
      <c r="J194"/>
      <c r="K194" s="11"/>
      <c r="L194" s="11"/>
      <c r="M194" s="11"/>
      <c r="N194" s="11"/>
      <c r="O194" s="11"/>
      <c r="P194" s="11"/>
      <c r="Q194" s="14"/>
      <c r="R194" s="14"/>
      <c r="S194" s="11"/>
      <c r="T194" s="18"/>
      <c r="U194" s="22"/>
    </row>
    <row r="195" spans="1:21" s="8" customFormat="1" ht="12.75">
      <c r="A195" s="45" t="s">
        <v>490</v>
      </c>
      <c r="B195" s="4"/>
      <c r="C195" s="4"/>
      <c r="D195" s="12"/>
      <c r="E195" s="12"/>
      <c r="F195"/>
      <c r="G195"/>
      <c r="H195"/>
      <c r="I195"/>
      <c r="J195"/>
      <c r="K195" s="11"/>
      <c r="L195" s="11"/>
      <c r="M195" s="11"/>
      <c r="N195" s="11"/>
      <c r="O195" s="11"/>
      <c r="P195" s="11"/>
      <c r="Q195" s="14"/>
      <c r="R195" s="14"/>
      <c r="S195" s="11"/>
      <c r="T195" s="18"/>
      <c r="U195" s="22"/>
    </row>
    <row r="196" spans="1:21" s="8" customFormat="1" ht="12.75">
      <c r="A196" s="45" t="s">
        <v>362</v>
      </c>
      <c r="B196" s="4"/>
      <c r="C196" s="4"/>
      <c r="D196" s="12"/>
      <c r="E196" s="12"/>
      <c r="F196"/>
      <c r="G196"/>
      <c r="H196"/>
      <c r="I196"/>
      <c r="J196"/>
      <c r="K196" s="11"/>
      <c r="L196" s="11"/>
      <c r="M196" s="11"/>
      <c r="N196" s="11"/>
      <c r="O196" s="11"/>
      <c r="P196" s="11"/>
      <c r="Q196" s="14"/>
      <c r="R196" s="14"/>
      <c r="S196" s="11"/>
      <c r="T196" s="18"/>
      <c r="U196" s="22"/>
    </row>
    <row r="197" spans="1:21" s="8" customFormat="1" ht="12.75">
      <c r="A197" s="143" t="s">
        <v>162</v>
      </c>
      <c r="B197" s="13"/>
      <c r="C197" s="13"/>
      <c r="D197" s="12"/>
      <c r="E197" s="12"/>
      <c r="F197"/>
      <c r="G197"/>
      <c r="H197"/>
      <c r="I197"/>
      <c r="J197"/>
      <c r="K197" s="11"/>
      <c r="L197" s="11"/>
      <c r="M197" s="11"/>
      <c r="N197" s="11"/>
      <c r="O197" s="11"/>
      <c r="P197" s="11"/>
      <c r="Q197" s="14"/>
      <c r="R197" s="14"/>
      <c r="S197" s="11"/>
      <c r="T197" s="18"/>
      <c r="U197" s="22"/>
    </row>
    <row r="198" spans="1:21" s="8" customFormat="1" ht="12.75">
      <c r="A198" s="143" t="s">
        <v>163</v>
      </c>
      <c r="B198" s="13"/>
      <c r="C198" s="13"/>
      <c r="D198" s="12"/>
      <c r="E198" s="12"/>
      <c r="F198"/>
      <c r="G198"/>
      <c r="H198"/>
      <c r="I198"/>
      <c r="J198"/>
      <c r="K198" s="11"/>
      <c r="L198" s="11"/>
      <c r="M198" s="11"/>
      <c r="N198" s="11"/>
      <c r="O198" s="11"/>
      <c r="P198" s="11"/>
      <c r="Q198" s="14"/>
      <c r="R198" s="14"/>
      <c r="S198" s="11"/>
      <c r="T198" s="18"/>
      <c r="U198" s="22"/>
    </row>
    <row r="199" spans="1:20" ht="13.5" customHeight="1">
      <c r="A199" s="143" t="s">
        <v>164</v>
      </c>
      <c r="B199" s="16"/>
      <c r="C199" s="16"/>
      <c r="D199" s="17"/>
      <c r="E199" s="17"/>
      <c r="F199" s="11"/>
      <c r="G199" s="11"/>
      <c r="H199" s="11"/>
      <c r="I199" s="11"/>
      <c r="J199" s="11"/>
      <c r="N199" s="11"/>
      <c r="Q199" s="18"/>
      <c r="R199" s="18"/>
      <c r="S199" s="11"/>
      <c r="T199" s="18"/>
    </row>
    <row r="200" spans="1:20" ht="14.25">
      <c r="A200" s="144" t="s">
        <v>165</v>
      </c>
      <c r="B200" s="16"/>
      <c r="C200" s="16"/>
      <c r="D200" s="17"/>
      <c r="E200" s="17"/>
      <c r="F200" s="11"/>
      <c r="G200" s="11"/>
      <c r="H200" s="11"/>
      <c r="I200" s="11"/>
      <c r="J200" s="11"/>
      <c r="N200" s="11"/>
      <c r="Q200" s="18"/>
      <c r="R200" s="18"/>
      <c r="S200" s="11"/>
      <c r="T200" s="18"/>
    </row>
    <row r="201" spans="1:20" ht="14.25">
      <c r="A201" s="144" t="s">
        <v>166</v>
      </c>
      <c r="B201" s="16"/>
      <c r="C201" s="16"/>
      <c r="D201" s="17"/>
      <c r="E201" s="17"/>
      <c r="F201" s="11"/>
      <c r="G201" s="11"/>
      <c r="H201" s="11"/>
      <c r="I201" s="11"/>
      <c r="J201" s="11"/>
      <c r="N201" s="11"/>
      <c r="Q201" s="18"/>
      <c r="R201" s="18"/>
      <c r="S201" s="11"/>
      <c r="T201" s="18"/>
    </row>
    <row r="202" spans="1:20" ht="12.75">
      <c r="A202" s="45" t="s">
        <v>488</v>
      </c>
      <c r="B202" s="4"/>
      <c r="C202" s="4"/>
      <c r="N202" s="11"/>
      <c r="Q202" s="14"/>
      <c r="R202" s="14"/>
      <c r="S202" s="11"/>
      <c r="T202" s="18"/>
    </row>
    <row r="203" spans="1:20" ht="12.75">
      <c r="A203" s="45" t="s">
        <v>645</v>
      </c>
      <c r="B203" s="4"/>
      <c r="C203" s="4"/>
      <c r="N203" s="11"/>
      <c r="Q203" s="14"/>
      <c r="R203" s="14"/>
      <c r="S203" s="11"/>
      <c r="T203" s="18"/>
    </row>
    <row r="204" spans="1:20" ht="12.75">
      <c r="A204" s="45" t="s">
        <v>646</v>
      </c>
      <c r="B204" s="4"/>
      <c r="C204" s="4"/>
      <c r="N204" s="11"/>
      <c r="Q204" s="14"/>
      <c r="R204" s="14"/>
      <c r="S204" s="11"/>
      <c r="T204" s="18"/>
    </row>
    <row r="205" spans="1:20" ht="12.75">
      <c r="A205" s="45" t="s">
        <v>647</v>
      </c>
      <c r="B205" s="4"/>
      <c r="C205" s="4"/>
      <c r="N205" s="11"/>
      <c r="Q205" s="14"/>
      <c r="R205" s="14"/>
      <c r="S205" s="11"/>
      <c r="T205" s="18"/>
    </row>
    <row r="206" spans="1:20" ht="12.75">
      <c r="A206" s="45" t="s">
        <v>648</v>
      </c>
      <c r="B206" s="4"/>
      <c r="C206" s="4"/>
      <c r="N206" s="11"/>
      <c r="Q206" s="14"/>
      <c r="R206" s="14"/>
      <c r="S206" s="11"/>
      <c r="T206" s="18"/>
    </row>
    <row r="207" spans="1:20" ht="12.75">
      <c r="A207" s="45" t="s">
        <v>817</v>
      </c>
      <c r="B207" s="4"/>
      <c r="C207" s="4"/>
      <c r="N207" s="11"/>
      <c r="Q207" s="14"/>
      <c r="R207" s="14"/>
      <c r="S207" s="11"/>
      <c r="T207" s="18"/>
    </row>
    <row r="208" spans="1:20" ht="12.75">
      <c r="A208" s="45" t="s">
        <v>649</v>
      </c>
      <c r="B208" s="4"/>
      <c r="C208" s="4"/>
      <c r="N208" s="11"/>
      <c r="Q208" s="14"/>
      <c r="R208" s="14"/>
      <c r="S208" s="11"/>
      <c r="T208" s="18"/>
    </row>
    <row r="209" spans="1:20" ht="12.75">
      <c r="A209" s="45" t="s">
        <v>650</v>
      </c>
      <c r="B209" s="4"/>
      <c r="C209" s="4"/>
      <c r="N209" s="11"/>
      <c r="Q209" s="14"/>
      <c r="R209" s="14"/>
      <c r="S209" s="11"/>
      <c r="T209" s="18"/>
    </row>
    <row r="210" spans="1:20" ht="12.75">
      <c r="A210" s="45" t="s">
        <v>651</v>
      </c>
      <c r="N210" s="11"/>
      <c r="Q210" s="14"/>
      <c r="R210" s="14"/>
      <c r="S210" s="11"/>
      <c r="T210" s="18"/>
    </row>
    <row r="211" spans="1:20" ht="12.75">
      <c r="A211" s="55" t="s">
        <v>652</v>
      </c>
      <c r="N211" s="11"/>
      <c r="Q211" s="14"/>
      <c r="R211" s="14"/>
      <c r="S211" s="11"/>
      <c r="T211" s="18"/>
    </row>
    <row r="212" spans="1:20" ht="12.75">
      <c r="A212" s="45" t="s">
        <v>647</v>
      </c>
      <c r="B212" s="4"/>
      <c r="C212" s="4"/>
      <c r="S212" s="14"/>
      <c r="T212" s="14"/>
    </row>
    <row r="213" spans="1:20" ht="12.75">
      <c r="A213" s="45" t="s">
        <v>648</v>
      </c>
      <c r="B213" s="4"/>
      <c r="C213" s="4"/>
      <c r="S213" s="14"/>
      <c r="T213" s="14"/>
    </row>
    <row r="214" spans="1:20" ht="12.75">
      <c r="A214" s="45" t="s">
        <v>400</v>
      </c>
      <c r="B214" s="4"/>
      <c r="C214" s="4"/>
      <c r="S214" s="14"/>
      <c r="T214" s="14"/>
    </row>
    <row r="215" spans="1:20" ht="12.75">
      <c r="A215" s="45" t="s">
        <v>649</v>
      </c>
      <c r="B215" s="4"/>
      <c r="C215" s="4"/>
      <c r="S215" s="14"/>
      <c r="T215" s="14"/>
    </row>
    <row r="216" spans="1:20" ht="12.75">
      <c r="A216" s="45" t="s">
        <v>650</v>
      </c>
      <c r="B216" s="4"/>
      <c r="C216" s="4"/>
      <c r="S216" s="14"/>
      <c r="T216" s="14"/>
    </row>
    <row r="217" spans="1:20" ht="12.75">
      <c r="A217" s="45" t="s">
        <v>651</v>
      </c>
      <c r="S217" s="14"/>
      <c r="T217" s="14"/>
    </row>
    <row r="218" spans="1:20" ht="12.75">
      <c r="A218" s="55" t="s">
        <v>652</v>
      </c>
      <c r="S218" s="14"/>
      <c r="T218" s="14"/>
    </row>
  </sheetData>
  <mergeCells count="16">
    <mergeCell ref="A1:T1"/>
    <mergeCell ref="A2:T2"/>
    <mergeCell ref="A4:A6"/>
    <mergeCell ref="B4:B6"/>
    <mergeCell ref="C4:C6"/>
    <mergeCell ref="D4:E5"/>
    <mergeCell ref="H4:H5"/>
    <mergeCell ref="F4:G5"/>
    <mergeCell ref="S4:T5"/>
    <mergeCell ref="M5:N5"/>
    <mergeCell ref="I4:J5"/>
    <mergeCell ref="O5:P5"/>
    <mergeCell ref="K4:L5"/>
    <mergeCell ref="M4:P4"/>
    <mergeCell ref="Q4:Q5"/>
    <mergeCell ref="R4:R5"/>
  </mergeCells>
  <printOptions horizontalCentered="1"/>
  <pageMargins left="1" right="1" top="1" bottom="1" header="0.5" footer="0.75"/>
  <pageSetup fitToHeight="4" fitToWidth="1" horizontalDpi="600" verticalDpi="600" orientation="landscape" paperSize="17" scale="59" r:id="rId3"/>
  <headerFooter alignWithMargins="0">
    <oddHeader>&amp;L&amp;12         Table 1 - Page &amp;P of  &amp;N</oddHeader>
  </headerFooter>
  <legacyDrawing r:id="rId2"/>
</worksheet>
</file>

<file path=xl/worksheets/sheet3.xml><?xml version="1.0" encoding="utf-8"?>
<worksheet xmlns="http://schemas.openxmlformats.org/spreadsheetml/2006/main" xmlns:r="http://schemas.openxmlformats.org/officeDocument/2006/relationships">
  <sheetPr codeName="Sheet3">
    <tabColor indexed="31"/>
    <pageSetUpPr fitToPage="1"/>
  </sheetPr>
  <dimension ref="A1:IV302"/>
  <sheetViews>
    <sheetView view="pageBreakPreview" zoomScale="75" zoomScaleSheetLayoutView="75" workbookViewId="0" topLeftCell="A1">
      <pane ySplit="4" topLeftCell="BM5" activePane="bottomLeft" state="frozen"/>
      <selection pane="topLeft" activeCell="B177" sqref="B177"/>
      <selection pane="bottomLeft" activeCell="A43" sqref="A43"/>
    </sheetView>
  </sheetViews>
  <sheetFormatPr defaultColWidth="9.140625" defaultRowHeight="12.75"/>
  <cols>
    <col min="1" max="1" width="42.00390625" style="29" customWidth="1"/>
    <col min="2" max="2" width="24.8515625" style="29" customWidth="1"/>
    <col min="3" max="3" width="10.140625" style="29" customWidth="1"/>
    <col min="4" max="4" width="9.57421875" style="29" customWidth="1"/>
    <col min="5" max="5" width="8.140625" style="37" customWidth="1"/>
    <col min="6" max="6" width="76.8515625" style="29" customWidth="1"/>
    <col min="7" max="16384" width="9.140625" style="29" customWidth="1"/>
  </cols>
  <sheetData>
    <row r="1" spans="1:6" ht="23.25">
      <c r="A1" s="273" t="s">
        <v>654</v>
      </c>
      <c r="B1" s="274"/>
      <c r="C1" s="274"/>
      <c r="D1" s="274"/>
      <c r="E1" s="274"/>
      <c r="F1" s="274"/>
    </row>
    <row r="2" spans="1:6" ht="21" customHeight="1">
      <c r="A2" s="275" t="s">
        <v>673</v>
      </c>
      <c r="B2" s="275"/>
      <c r="C2" s="275"/>
      <c r="D2" s="275"/>
      <c r="E2" s="275"/>
      <c r="F2" s="275"/>
    </row>
    <row r="3" spans="1:20" s="2" customFormat="1" ht="8.25" customHeight="1" thickBot="1">
      <c r="A3" s="48"/>
      <c r="B3" s="1"/>
      <c r="C3" s="1"/>
      <c r="D3" s="47"/>
      <c r="E3" s="47"/>
      <c r="F3" s="1"/>
      <c r="G3" s="1"/>
      <c r="H3" s="1"/>
      <c r="I3" s="1"/>
      <c r="J3" s="1"/>
      <c r="K3" s="1"/>
      <c r="L3" s="1"/>
      <c r="M3" s="48"/>
      <c r="N3" s="48"/>
      <c r="O3" s="48"/>
      <c r="P3" s="48"/>
      <c r="Q3" s="48"/>
      <c r="R3" s="48"/>
      <c r="S3" s="1"/>
      <c r="T3" s="49"/>
    </row>
    <row r="4" spans="1:6" ht="19.5" customHeight="1" thickTop="1">
      <c r="A4" s="148" t="s">
        <v>659</v>
      </c>
      <c r="B4" s="148" t="s">
        <v>1</v>
      </c>
      <c r="C4" s="149" t="s">
        <v>660</v>
      </c>
      <c r="D4" s="149" t="s">
        <v>661</v>
      </c>
      <c r="E4" s="150" t="s">
        <v>491</v>
      </c>
      <c r="F4" s="150" t="s">
        <v>2</v>
      </c>
    </row>
    <row r="5" spans="1:6" ht="14.25">
      <c r="A5" s="30" t="s">
        <v>348</v>
      </c>
      <c r="B5" s="30"/>
      <c r="C5" s="31">
        <v>170</v>
      </c>
      <c r="D5" s="31"/>
      <c r="E5" s="39" t="s">
        <v>3</v>
      </c>
      <c r="F5" s="145" t="s">
        <v>4</v>
      </c>
    </row>
    <row r="6" spans="1:6" ht="14.25">
      <c r="A6" s="32" t="s">
        <v>351</v>
      </c>
      <c r="B6" s="32" t="s">
        <v>346</v>
      </c>
      <c r="C6" s="33">
        <v>850</v>
      </c>
      <c r="D6" s="32"/>
      <c r="E6" s="38" t="s">
        <v>5</v>
      </c>
      <c r="F6" s="145" t="s">
        <v>6</v>
      </c>
    </row>
    <row r="7" spans="1:6" ht="14.25">
      <c r="A7" s="32" t="s">
        <v>479</v>
      </c>
      <c r="B7" s="32" t="s">
        <v>346</v>
      </c>
      <c r="C7" s="33">
        <v>518</v>
      </c>
      <c r="D7" s="32"/>
      <c r="E7" s="38" t="s">
        <v>5</v>
      </c>
      <c r="F7" s="145" t="s">
        <v>6</v>
      </c>
    </row>
    <row r="8" spans="1:6" ht="14.25">
      <c r="A8" s="32" t="s">
        <v>480</v>
      </c>
      <c r="B8" s="32" t="s">
        <v>346</v>
      </c>
      <c r="C8" s="33">
        <v>0.575</v>
      </c>
      <c r="D8" s="32"/>
      <c r="E8" s="38" t="s">
        <v>5</v>
      </c>
      <c r="F8" s="145" t="s">
        <v>6</v>
      </c>
    </row>
    <row r="9" spans="1:6" ht="14.25">
      <c r="A9" s="32" t="s">
        <v>481</v>
      </c>
      <c r="B9" s="32" t="s">
        <v>346</v>
      </c>
      <c r="C9" s="33">
        <v>19.4</v>
      </c>
      <c r="D9" s="32"/>
      <c r="E9" s="38" t="s">
        <v>5</v>
      </c>
      <c r="F9" s="145" t="s">
        <v>6</v>
      </c>
    </row>
    <row r="10" spans="1:6" ht="14.25">
      <c r="A10" s="32" t="s">
        <v>662</v>
      </c>
      <c r="B10" s="32" t="s">
        <v>346</v>
      </c>
      <c r="C10" s="33">
        <v>5062</v>
      </c>
      <c r="D10" s="32"/>
      <c r="E10" s="38" t="s">
        <v>5</v>
      </c>
      <c r="F10" s="145" t="s">
        <v>6</v>
      </c>
    </row>
    <row r="11" spans="1:6" ht="14.25">
      <c r="A11" s="32" t="s">
        <v>663</v>
      </c>
      <c r="B11" s="32" t="s">
        <v>346</v>
      </c>
      <c r="C11" s="33">
        <v>294</v>
      </c>
      <c r="D11" s="32"/>
      <c r="E11" s="38" t="s">
        <v>5</v>
      </c>
      <c r="F11" s="145" t="s">
        <v>6</v>
      </c>
    </row>
    <row r="12" spans="1:6" ht="14.25">
      <c r="A12" s="32" t="s">
        <v>483</v>
      </c>
      <c r="B12" s="32" t="s">
        <v>346</v>
      </c>
      <c r="C12" s="33">
        <v>260</v>
      </c>
      <c r="D12" s="32"/>
      <c r="E12" s="38" t="s">
        <v>5</v>
      </c>
      <c r="F12" s="145" t="s">
        <v>6</v>
      </c>
    </row>
    <row r="13" spans="1:6" ht="14.25">
      <c r="A13" s="30" t="s">
        <v>179</v>
      </c>
      <c r="B13" s="30"/>
      <c r="C13" s="31"/>
      <c r="D13" s="31"/>
      <c r="E13" s="39"/>
      <c r="F13" s="145"/>
    </row>
    <row r="14" spans="1:6" ht="14.25">
      <c r="A14" s="32" t="s">
        <v>360</v>
      </c>
      <c r="B14" s="32" t="s">
        <v>346</v>
      </c>
      <c r="C14" s="33">
        <v>333</v>
      </c>
      <c r="D14" s="32"/>
      <c r="E14" s="38" t="s">
        <v>5</v>
      </c>
      <c r="F14" s="145" t="s">
        <v>6</v>
      </c>
    </row>
    <row r="15" spans="1:6" ht="14.25">
      <c r="A15" s="32" t="s">
        <v>664</v>
      </c>
      <c r="B15" s="32" t="s">
        <v>346</v>
      </c>
      <c r="C15" s="34"/>
      <c r="D15" s="32"/>
      <c r="E15" s="38" t="s">
        <v>346</v>
      </c>
      <c r="F15" s="32" t="s">
        <v>346</v>
      </c>
    </row>
    <row r="16" spans="1:6" ht="14.25">
      <c r="A16" s="30" t="s">
        <v>361</v>
      </c>
      <c r="B16" s="30"/>
      <c r="C16" s="31"/>
      <c r="D16" s="31"/>
      <c r="E16" s="39"/>
      <c r="F16" s="145"/>
    </row>
    <row r="17" spans="1:6" ht="14.25">
      <c r="A17" s="30" t="s">
        <v>665</v>
      </c>
      <c r="B17" s="30"/>
      <c r="C17" s="35" t="s">
        <v>346</v>
      </c>
      <c r="D17" s="35" t="s">
        <v>346</v>
      </c>
      <c r="E17" s="40" t="s">
        <v>346</v>
      </c>
      <c r="F17" s="145"/>
    </row>
    <row r="18" spans="1:6" ht="14.25">
      <c r="A18" s="30" t="s">
        <v>363</v>
      </c>
      <c r="B18" s="30"/>
      <c r="C18" s="31"/>
      <c r="D18" s="31"/>
      <c r="E18" s="39"/>
      <c r="F18" s="145"/>
    </row>
    <row r="19" spans="1:6" ht="14.25">
      <c r="A19" s="32" t="s">
        <v>410</v>
      </c>
      <c r="B19" s="32" t="s">
        <v>346</v>
      </c>
      <c r="C19" s="33">
        <v>318</v>
      </c>
      <c r="D19" s="32"/>
      <c r="E19" s="38" t="s">
        <v>5</v>
      </c>
      <c r="F19" s="145" t="s">
        <v>6</v>
      </c>
    </row>
    <row r="20" spans="1:6" ht="14.25">
      <c r="A20" s="30" t="s">
        <v>411</v>
      </c>
      <c r="B20" s="30"/>
      <c r="C20" s="35" t="s">
        <v>346</v>
      </c>
      <c r="D20" s="35" t="s">
        <v>346</v>
      </c>
      <c r="E20" s="40" t="s">
        <v>346</v>
      </c>
      <c r="F20" s="145"/>
    </row>
    <row r="21" spans="1:6" ht="14.25">
      <c r="A21" s="30" t="s">
        <v>7</v>
      </c>
      <c r="B21" s="30"/>
      <c r="C21" s="31"/>
      <c r="D21" s="31"/>
      <c r="E21" s="39"/>
      <c r="F21" s="145"/>
    </row>
    <row r="22" spans="1:6" ht="14.25">
      <c r="A22" s="32" t="s">
        <v>412</v>
      </c>
      <c r="B22" s="32" t="s">
        <v>346</v>
      </c>
      <c r="C22" s="34"/>
      <c r="D22" s="32"/>
      <c r="E22" s="38" t="s">
        <v>346</v>
      </c>
      <c r="F22" s="32" t="s">
        <v>346</v>
      </c>
    </row>
    <row r="23" spans="1:6" ht="14.25">
      <c r="A23" s="30" t="s">
        <v>8</v>
      </c>
      <c r="B23" s="30"/>
      <c r="C23" s="31">
        <v>130</v>
      </c>
      <c r="D23" s="31"/>
      <c r="E23" s="39" t="s">
        <v>5</v>
      </c>
      <c r="F23" s="146" t="s">
        <v>9</v>
      </c>
    </row>
    <row r="24" spans="1:6" ht="14.25">
      <c r="A24" s="30" t="s">
        <v>413</v>
      </c>
      <c r="B24" s="30"/>
      <c r="C24" s="31">
        <v>204</v>
      </c>
      <c r="D24" s="31">
        <v>1170</v>
      </c>
      <c r="E24" s="39" t="s">
        <v>5</v>
      </c>
      <c r="F24" s="146" t="s">
        <v>10</v>
      </c>
    </row>
    <row r="25" spans="1:6" ht="14.25">
      <c r="A25" s="30" t="s">
        <v>414</v>
      </c>
      <c r="B25" s="30"/>
      <c r="C25" s="35" t="s">
        <v>346</v>
      </c>
      <c r="D25" s="35" t="s">
        <v>346</v>
      </c>
      <c r="E25" s="40" t="s">
        <v>346</v>
      </c>
      <c r="F25" s="145"/>
    </row>
    <row r="26" spans="1:6" ht="14.25">
      <c r="A26" s="30" t="s">
        <v>11</v>
      </c>
      <c r="B26" s="30"/>
      <c r="C26" s="31"/>
      <c r="D26" s="31"/>
      <c r="E26" s="39"/>
      <c r="F26" s="145"/>
    </row>
    <row r="27" spans="1:6" ht="14.25">
      <c r="A27" s="30" t="s">
        <v>237</v>
      </c>
      <c r="B27" s="30"/>
      <c r="C27" s="35" t="s">
        <v>346</v>
      </c>
      <c r="D27" s="35" t="s">
        <v>346</v>
      </c>
      <c r="E27" s="40" t="s">
        <v>346</v>
      </c>
      <c r="F27" s="145"/>
    </row>
    <row r="28" spans="1:6" ht="14.25">
      <c r="A28" s="30" t="s">
        <v>238</v>
      </c>
      <c r="B28" s="30"/>
      <c r="C28" s="35" t="s">
        <v>346</v>
      </c>
      <c r="D28" s="35" t="s">
        <v>346</v>
      </c>
      <c r="E28" s="40" t="s">
        <v>346</v>
      </c>
      <c r="F28" s="145"/>
    </row>
    <row r="29" spans="1:6" ht="14.25">
      <c r="A29" s="30" t="s">
        <v>239</v>
      </c>
      <c r="B29" s="30"/>
      <c r="C29" s="35" t="s">
        <v>346</v>
      </c>
      <c r="D29" s="35" t="s">
        <v>346</v>
      </c>
      <c r="E29" s="40" t="s">
        <v>346</v>
      </c>
      <c r="F29" s="145"/>
    </row>
    <row r="30" spans="1:6" ht="14.25">
      <c r="A30" s="30" t="s">
        <v>368</v>
      </c>
      <c r="B30" s="30"/>
      <c r="C30" s="31"/>
      <c r="D30" s="31"/>
      <c r="E30" s="39"/>
      <c r="F30" s="145"/>
    </row>
    <row r="31" spans="1:6" ht="14.25">
      <c r="A31" s="30" t="s">
        <v>240</v>
      </c>
      <c r="B31" s="30"/>
      <c r="C31" s="35">
        <v>0.038</v>
      </c>
      <c r="D31" s="35" t="s">
        <v>346</v>
      </c>
      <c r="E31" s="40" t="s">
        <v>5</v>
      </c>
      <c r="F31" s="145" t="s">
        <v>12</v>
      </c>
    </row>
    <row r="32" spans="1:6" ht="14.25">
      <c r="A32" s="32" t="s">
        <v>241</v>
      </c>
      <c r="B32" s="32" t="s">
        <v>346</v>
      </c>
      <c r="C32" s="33">
        <v>6.21</v>
      </c>
      <c r="D32" s="32"/>
      <c r="E32" s="38" t="s">
        <v>5</v>
      </c>
      <c r="F32" s="145" t="s">
        <v>6</v>
      </c>
    </row>
    <row r="33" spans="1:6" ht="14.25">
      <c r="A33" s="32" t="s">
        <v>242</v>
      </c>
      <c r="B33" s="32" t="s">
        <v>346</v>
      </c>
      <c r="C33" s="33">
        <v>14.4</v>
      </c>
      <c r="D33" s="32"/>
      <c r="E33" s="38" t="s">
        <v>5</v>
      </c>
      <c r="F33" s="145" t="s">
        <v>6</v>
      </c>
    </row>
    <row r="34" spans="1:6" ht="14.25">
      <c r="A34" s="32" t="s">
        <v>243</v>
      </c>
      <c r="B34" s="32" t="s">
        <v>346</v>
      </c>
      <c r="C34" s="34"/>
      <c r="D34" s="32"/>
      <c r="E34" s="38" t="s">
        <v>5</v>
      </c>
      <c r="F34" s="32" t="s">
        <v>346</v>
      </c>
    </row>
    <row r="35" spans="1:6" ht="14.25">
      <c r="A35" s="32" t="s">
        <v>244</v>
      </c>
      <c r="B35" s="32" t="s">
        <v>346</v>
      </c>
      <c r="C35" s="33">
        <v>39.8</v>
      </c>
      <c r="D35" s="32"/>
      <c r="E35" s="38" t="s">
        <v>5</v>
      </c>
      <c r="F35" s="145" t="s">
        <v>6</v>
      </c>
    </row>
    <row r="36" spans="1:6" ht="14.25">
      <c r="A36" s="32" t="s">
        <v>373</v>
      </c>
      <c r="B36" s="32" t="s">
        <v>346</v>
      </c>
      <c r="C36" s="34"/>
      <c r="D36" s="32"/>
      <c r="E36" s="38" t="s">
        <v>346</v>
      </c>
      <c r="F36" s="32" t="s">
        <v>346</v>
      </c>
    </row>
    <row r="37" spans="1:6" ht="14.25">
      <c r="A37" s="32" t="s">
        <v>375</v>
      </c>
      <c r="B37" s="32" t="s">
        <v>346</v>
      </c>
      <c r="C37" s="34"/>
      <c r="D37" s="32"/>
      <c r="E37" s="38" t="s">
        <v>346</v>
      </c>
      <c r="F37" s="32" t="s">
        <v>346</v>
      </c>
    </row>
    <row r="38" spans="1:6" ht="14.25">
      <c r="A38" s="32" t="s">
        <v>245</v>
      </c>
      <c r="B38" s="32" t="s">
        <v>346</v>
      </c>
      <c r="C38" s="33">
        <v>417</v>
      </c>
      <c r="D38" s="32"/>
      <c r="E38" s="38" t="s">
        <v>5</v>
      </c>
      <c r="F38" s="145" t="s">
        <v>6</v>
      </c>
    </row>
    <row r="39" spans="1:6" ht="14.25">
      <c r="A39" s="32" t="s">
        <v>246</v>
      </c>
      <c r="B39" s="32" t="s">
        <v>346</v>
      </c>
      <c r="C39" s="33">
        <v>31.9</v>
      </c>
      <c r="D39" s="32"/>
      <c r="E39" s="38" t="s">
        <v>5</v>
      </c>
      <c r="F39" s="145" t="s">
        <v>6</v>
      </c>
    </row>
    <row r="40" spans="1:6" ht="14.25">
      <c r="A40" s="32" t="s">
        <v>247</v>
      </c>
      <c r="B40" s="32" t="s">
        <v>346</v>
      </c>
      <c r="C40" s="34"/>
      <c r="D40" s="32"/>
      <c r="E40" s="38" t="s">
        <v>346</v>
      </c>
      <c r="F40" s="32" t="s">
        <v>346</v>
      </c>
    </row>
    <row r="41" spans="1:6" ht="14.25">
      <c r="A41" s="32" t="s">
        <v>13</v>
      </c>
      <c r="B41" s="32" t="s">
        <v>346</v>
      </c>
      <c r="C41" s="34"/>
      <c r="D41" s="32"/>
      <c r="E41" s="38" t="s">
        <v>346</v>
      </c>
      <c r="F41" s="32" t="s">
        <v>346</v>
      </c>
    </row>
    <row r="42" spans="1:6" ht="14.25">
      <c r="A42" s="32" t="s">
        <v>119</v>
      </c>
      <c r="B42" s="32" t="s">
        <v>346</v>
      </c>
      <c r="C42" s="33">
        <v>58.2</v>
      </c>
      <c r="D42" s="32"/>
      <c r="E42" s="38" t="s">
        <v>5</v>
      </c>
      <c r="F42" s="145" t="s">
        <v>6</v>
      </c>
    </row>
    <row r="43" spans="1:6" ht="14.25">
      <c r="A43" s="32" t="s">
        <v>248</v>
      </c>
      <c r="B43" s="32" t="s">
        <v>346</v>
      </c>
      <c r="C43" s="34"/>
      <c r="D43" s="32"/>
      <c r="E43" s="38" t="s">
        <v>346</v>
      </c>
      <c r="F43" s="32" t="s">
        <v>346</v>
      </c>
    </row>
    <row r="44" spans="1:6" ht="14.25">
      <c r="A44" s="30" t="s">
        <v>14</v>
      </c>
      <c r="B44" s="30"/>
      <c r="C44" s="31">
        <v>70</v>
      </c>
      <c r="D44" s="31">
        <v>670</v>
      </c>
      <c r="E44" s="39" t="s">
        <v>5</v>
      </c>
      <c r="F44" s="146" t="s">
        <v>15</v>
      </c>
    </row>
    <row r="45" spans="1:6" ht="14.25">
      <c r="A45" s="30" t="s">
        <v>377</v>
      </c>
      <c r="B45" s="30"/>
      <c r="C45" s="31"/>
      <c r="D45" s="31"/>
      <c r="E45" s="39"/>
      <c r="F45" s="145"/>
    </row>
    <row r="46" spans="1:6" ht="14.25">
      <c r="A46" s="30" t="s">
        <v>249</v>
      </c>
      <c r="B46" s="30"/>
      <c r="C46" s="35" t="s">
        <v>346</v>
      </c>
      <c r="D46" s="35" t="s">
        <v>346</v>
      </c>
      <c r="E46" s="40" t="s">
        <v>346</v>
      </c>
      <c r="F46" s="145"/>
    </row>
    <row r="47" spans="1:6" ht="14.25">
      <c r="A47" s="30" t="s">
        <v>16</v>
      </c>
      <c r="B47" s="30"/>
      <c r="C47" s="31"/>
      <c r="D47" s="31"/>
      <c r="E47" s="39"/>
      <c r="F47" s="145"/>
    </row>
    <row r="48" spans="1:6" ht="14.25">
      <c r="A48" s="30" t="s">
        <v>378</v>
      </c>
      <c r="B48" s="30"/>
      <c r="C48" s="31"/>
      <c r="D48" s="31"/>
      <c r="E48" s="39"/>
      <c r="F48" s="145"/>
    </row>
    <row r="49" spans="1:6" ht="14.25">
      <c r="A49" s="30" t="s">
        <v>382</v>
      </c>
      <c r="B49" s="30"/>
      <c r="C49" s="31"/>
      <c r="D49" s="31"/>
      <c r="E49" s="39"/>
      <c r="F49" s="145"/>
    </row>
    <row r="50" spans="1:6" ht="19.5" customHeight="1">
      <c r="A50" s="148" t="s">
        <v>659</v>
      </c>
      <c r="B50" s="148" t="s">
        <v>1</v>
      </c>
      <c r="C50" s="149" t="s">
        <v>660</v>
      </c>
      <c r="D50" s="149" t="s">
        <v>661</v>
      </c>
      <c r="E50" s="150" t="s">
        <v>491</v>
      </c>
      <c r="F50" s="150" t="s">
        <v>2</v>
      </c>
    </row>
    <row r="51" spans="1:6" ht="14.25">
      <c r="A51" s="30" t="s">
        <v>17</v>
      </c>
      <c r="B51" s="30"/>
      <c r="C51" s="35" t="s">
        <v>346</v>
      </c>
      <c r="D51" s="35" t="s">
        <v>346</v>
      </c>
      <c r="E51" s="40" t="s">
        <v>346</v>
      </c>
      <c r="F51" s="145"/>
    </row>
    <row r="52" spans="1:6" ht="14.25">
      <c r="A52" s="30" t="s">
        <v>250</v>
      </c>
      <c r="B52" s="30"/>
      <c r="C52" s="35" t="s">
        <v>346</v>
      </c>
      <c r="D52" s="35" t="s">
        <v>346</v>
      </c>
      <c r="E52" s="40" t="s">
        <v>346</v>
      </c>
      <c r="F52" s="145"/>
    </row>
    <row r="53" spans="1:6" ht="14.25">
      <c r="A53" s="30" t="s">
        <v>18</v>
      </c>
      <c r="B53" s="30"/>
      <c r="C53" s="35" t="s">
        <v>346</v>
      </c>
      <c r="D53" s="35" t="s">
        <v>346</v>
      </c>
      <c r="E53" s="40" t="s">
        <v>346</v>
      </c>
      <c r="F53" s="145"/>
    </row>
    <row r="54" spans="1:6" ht="14.25">
      <c r="A54" s="30" t="s">
        <v>251</v>
      </c>
      <c r="B54" s="30"/>
      <c r="C54" s="35" t="s">
        <v>346</v>
      </c>
      <c r="D54" s="35" t="s">
        <v>346</v>
      </c>
      <c r="E54" s="40" t="s">
        <v>346</v>
      </c>
      <c r="F54" s="145"/>
    </row>
    <row r="55" spans="1:6" ht="14.25">
      <c r="A55" s="32" t="s">
        <v>125</v>
      </c>
      <c r="B55" s="32" t="s">
        <v>346</v>
      </c>
      <c r="C55" s="33">
        <v>25.1</v>
      </c>
      <c r="D55" s="32"/>
      <c r="E55" s="38" t="s">
        <v>5</v>
      </c>
      <c r="F55" s="145" t="s">
        <v>6</v>
      </c>
    </row>
    <row r="56" spans="1:6" ht="14.25">
      <c r="A56" s="30" t="s">
        <v>384</v>
      </c>
      <c r="B56" s="30"/>
      <c r="C56" s="31"/>
      <c r="D56" s="31"/>
      <c r="E56" s="39"/>
      <c r="F56" s="145"/>
    </row>
    <row r="57" spans="1:6" ht="14.25">
      <c r="A57" s="30" t="s">
        <v>252</v>
      </c>
      <c r="B57" s="30"/>
      <c r="C57" s="35" t="s">
        <v>346</v>
      </c>
      <c r="D57" s="35" t="s">
        <v>346</v>
      </c>
      <c r="E57" s="40" t="s">
        <v>346</v>
      </c>
      <c r="F57" s="145"/>
    </row>
    <row r="58" spans="1:6" ht="14.25">
      <c r="A58" s="32" t="s">
        <v>253</v>
      </c>
      <c r="B58" s="32" t="s">
        <v>346</v>
      </c>
      <c r="C58" s="34"/>
      <c r="D58" s="32"/>
      <c r="E58" s="38" t="s">
        <v>346</v>
      </c>
      <c r="F58" s="32" t="s">
        <v>346</v>
      </c>
    </row>
    <row r="59" spans="1:6" ht="14.25">
      <c r="A59" s="30" t="s">
        <v>254</v>
      </c>
      <c r="B59" s="30"/>
      <c r="C59" s="35">
        <v>6.7</v>
      </c>
      <c r="D59" s="35">
        <v>89</v>
      </c>
      <c r="E59" s="40" t="s">
        <v>5</v>
      </c>
      <c r="F59" s="146" t="s">
        <v>19</v>
      </c>
    </row>
    <row r="60" spans="1:6" ht="14.25">
      <c r="A60" s="30" t="s">
        <v>255</v>
      </c>
      <c r="B60" s="30"/>
      <c r="C60" s="35">
        <v>5.9</v>
      </c>
      <c r="D60" s="35">
        <v>130</v>
      </c>
      <c r="E60" s="40" t="s">
        <v>5</v>
      </c>
      <c r="F60" s="146" t="s">
        <v>19</v>
      </c>
    </row>
    <row r="61" spans="1:6" ht="14.25">
      <c r="A61" s="32" t="s">
        <v>386</v>
      </c>
      <c r="B61" s="32" t="s">
        <v>346</v>
      </c>
      <c r="C61" s="34"/>
      <c r="D61" s="32"/>
      <c r="E61" s="38" t="s">
        <v>346</v>
      </c>
      <c r="F61" s="32" t="s">
        <v>346</v>
      </c>
    </row>
    <row r="62" spans="1:6" ht="14.25">
      <c r="A62" s="30" t="s">
        <v>387</v>
      </c>
      <c r="B62" s="30"/>
      <c r="C62" s="31">
        <v>8.7</v>
      </c>
      <c r="D62" s="31"/>
      <c r="E62" s="39" t="s">
        <v>5</v>
      </c>
      <c r="F62" s="147" t="s">
        <v>20</v>
      </c>
    </row>
    <row r="63" spans="1:6" ht="14.25">
      <c r="A63" s="30" t="s">
        <v>256</v>
      </c>
      <c r="B63" s="30"/>
      <c r="C63" s="35">
        <v>1000</v>
      </c>
      <c r="D63" s="35" t="s">
        <v>346</v>
      </c>
      <c r="E63" s="40" t="s">
        <v>3</v>
      </c>
      <c r="F63" s="145" t="s">
        <v>21</v>
      </c>
    </row>
    <row r="64" spans="1:6" ht="14.25">
      <c r="A64" s="30" t="s">
        <v>257</v>
      </c>
      <c r="B64" s="30"/>
      <c r="C64" s="35">
        <v>2</v>
      </c>
      <c r="D64" s="35">
        <v>160</v>
      </c>
      <c r="E64" s="40" t="s">
        <v>5</v>
      </c>
      <c r="F64" s="145" t="s">
        <v>22</v>
      </c>
    </row>
    <row r="65" spans="1:6" ht="14.25">
      <c r="A65" s="30" t="s">
        <v>23</v>
      </c>
      <c r="B65" s="30"/>
      <c r="C65" s="35" t="s">
        <v>346</v>
      </c>
      <c r="D65" s="35" t="s">
        <v>346</v>
      </c>
      <c r="E65" s="40" t="s">
        <v>346</v>
      </c>
      <c r="F65" s="145"/>
    </row>
    <row r="66" spans="1:6" ht="14.25">
      <c r="A66" s="32" t="s">
        <v>418</v>
      </c>
      <c r="B66" s="32" t="s">
        <v>259</v>
      </c>
      <c r="C66" s="33">
        <v>6</v>
      </c>
      <c r="D66" s="32"/>
      <c r="E66" s="38" t="s">
        <v>5</v>
      </c>
      <c r="F66" s="145" t="s">
        <v>6</v>
      </c>
    </row>
    <row r="67" spans="1:6" ht="14.25">
      <c r="A67" s="32" t="s">
        <v>258</v>
      </c>
      <c r="B67" s="32" t="s">
        <v>24</v>
      </c>
      <c r="C67" s="34"/>
      <c r="D67" s="32"/>
      <c r="E67" s="38" t="s">
        <v>346</v>
      </c>
      <c r="F67" s="32" t="s">
        <v>346</v>
      </c>
    </row>
    <row r="68" spans="1:6" ht="14.25">
      <c r="A68" s="32" t="s">
        <v>25</v>
      </c>
      <c r="B68" s="32" t="s">
        <v>346</v>
      </c>
      <c r="C68" s="34"/>
      <c r="D68" s="32"/>
      <c r="E68" s="38" t="s">
        <v>346</v>
      </c>
      <c r="F68" s="32" t="s">
        <v>346</v>
      </c>
    </row>
    <row r="69" spans="1:6" ht="14.25">
      <c r="A69" s="30" t="s">
        <v>260</v>
      </c>
      <c r="B69" s="30"/>
      <c r="C69" s="35">
        <v>25519</v>
      </c>
      <c r="D69" s="35">
        <v>59572</v>
      </c>
      <c r="E69" s="40" t="s">
        <v>347</v>
      </c>
      <c r="F69" s="145" t="s">
        <v>26</v>
      </c>
    </row>
    <row r="70" spans="1:6" ht="14.25">
      <c r="A70" s="30" t="s">
        <v>27</v>
      </c>
      <c r="B70" s="30"/>
      <c r="C70" s="35" t="s">
        <v>346</v>
      </c>
      <c r="D70" s="35" t="s">
        <v>346</v>
      </c>
      <c r="E70" s="40" t="s">
        <v>346</v>
      </c>
      <c r="F70" s="145"/>
    </row>
    <row r="71" spans="1:6" ht="14.25">
      <c r="A71" s="30" t="s">
        <v>261</v>
      </c>
      <c r="B71" s="30"/>
      <c r="C71" s="35" t="s">
        <v>346</v>
      </c>
      <c r="D71" s="35" t="s">
        <v>346</v>
      </c>
      <c r="E71" s="40" t="s">
        <v>346</v>
      </c>
      <c r="F71" s="145"/>
    </row>
    <row r="72" spans="1:6" ht="14.25">
      <c r="A72" s="30" t="s">
        <v>395</v>
      </c>
      <c r="B72" s="30"/>
      <c r="C72" s="31"/>
      <c r="D72" s="31"/>
      <c r="E72" s="39"/>
      <c r="F72" s="145"/>
    </row>
    <row r="73" spans="1:6" ht="14.25">
      <c r="A73" s="30" t="s">
        <v>28</v>
      </c>
      <c r="B73" s="30"/>
      <c r="C73" s="35" t="s">
        <v>346</v>
      </c>
      <c r="D73" s="35" t="s">
        <v>346</v>
      </c>
      <c r="E73" s="40" t="s">
        <v>346</v>
      </c>
      <c r="F73" s="145"/>
    </row>
    <row r="74" spans="1:6" ht="14.25">
      <c r="A74" s="30" t="s">
        <v>262</v>
      </c>
      <c r="B74" s="30"/>
      <c r="C74" s="35">
        <v>57.2</v>
      </c>
      <c r="D74" s="35">
        <v>845</v>
      </c>
      <c r="E74" s="40" t="s">
        <v>5</v>
      </c>
      <c r="F74" s="146" t="s">
        <v>29</v>
      </c>
    </row>
    <row r="75" spans="1:6" ht="14.25">
      <c r="A75" s="30" t="s">
        <v>263</v>
      </c>
      <c r="B75" s="30"/>
      <c r="C75" s="35">
        <v>150</v>
      </c>
      <c r="D75" s="35">
        <v>200</v>
      </c>
      <c r="E75" s="40" t="s">
        <v>347</v>
      </c>
      <c r="F75" s="145" t="s">
        <v>30</v>
      </c>
    </row>
    <row r="76" spans="1:6" ht="14.25">
      <c r="A76" s="30" t="s">
        <v>264</v>
      </c>
      <c r="B76" s="30"/>
      <c r="C76" s="35">
        <v>9.79</v>
      </c>
      <c r="D76" s="35">
        <v>33</v>
      </c>
      <c r="E76" s="40" t="s">
        <v>347</v>
      </c>
      <c r="F76" s="146" t="s">
        <v>31</v>
      </c>
    </row>
    <row r="77" spans="1:6" ht="14.25">
      <c r="A77" s="30" t="s">
        <v>265</v>
      </c>
      <c r="B77" s="30"/>
      <c r="C77" s="35" t="s">
        <v>346</v>
      </c>
      <c r="D77" s="35" t="s">
        <v>346</v>
      </c>
      <c r="E77" s="40" t="s">
        <v>346</v>
      </c>
      <c r="F77" s="145"/>
    </row>
    <row r="78" spans="1:6" ht="14.25">
      <c r="A78" s="30" t="s">
        <v>266</v>
      </c>
      <c r="B78" s="30"/>
      <c r="C78" s="35">
        <v>20</v>
      </c>
      <c r="D78" s="35">
        <v>60</v>
      </c>
      <c r="E78" s="40" t="s">
        <v>347</v>
      </c>
      <c r="F78" s="146" t="s">
        <v>32</v>
      </c>
    </row>
    <row r="79" spans="1:6" ht="14.25">
      <c r="A79" s="30" t="s">
        <v>402</v>
      </c>
      <c r="B79" s="30"/>
      <c r="C79" s="31">
        <v>57</v>
      </c>
      <c r="D79" s="31"/>
      <c r="E79" s="39" t="s">
        <v>5</v>
      </c>
      <c r="F79" s="147" t="s">
        <v>20</v>
      </c>
    </row>
    <row r="80" spans="1:6" ht="14.25">
      <c r="A80" s="32" t="s">
        <v>33</v>
      </c>
      <c r="B80" s="32" t="s">
        <v>346</v>
      </c>
      <c r="C80" s="34"/>
      <c r="D80" s="32"/>
      <c r="E80" s="38" t="s">
        <v>346</v>
      </c>
      <c r="F80" s="32" t="s">
        <v>346</v>
      </c>
    </row>
    <row r="81" spans="1:6" ht="14.25">
      <c r="A81" s="30" t="s">
        <v>267</v>
      </c>
      <c r="B81" s="30" t="s">
        <v>34</v>
      </c>
      <c r="C81" s="35">
        <v>108</v>
      </c>
      <c r="D81" s="35">
        <v>1050</v>
      </c>
      <c r="E81" s="40" t="s">
        <v>5</v>
      </c>
      <c r="F81" s="146" t="s">
        <v>31</v>
      </c>
    </row>
    <row r="82" spans="1:6" ht="14.25">
      <c r="A82" s="30" t="s">
        <v>268</v>
      </c>
      <c r="B82" s="30" t="s">
        <v>35</v>
      </c>
      <c r="C82" s="35">
        <v>150</v>
      </c>
      <c r="D82" s="35">
        <v>1450</v>
      </c>
      <c r="E82" s="40" t="s">
        <v>5</v>
      </c>
      <c r="F82" s="146" t="s">
        <v>31</v>
      </c>
    </row>
    <row r="83" spans="1:6" ht="14.25">
      <c r="A83" s="30" t="s">
        <v>269</v>
      </c>
      <c r="B83" s="30" t="s">
        <v>36</v>
      </c>
      <c r="C83" s="35">
        <v>27.2</v>
      </c>
      <c r="D83" s="35">
        <v>4000</v>
      </c>
      <c r="E83" s="40" t="s">
        <v>5</v>
      </c>
      <c r="F83" s="146" t="s">
        <v>37</v>
      </c>
    </row>
    <row r="84" spans="1:6" ht="14.25">
      <c r="A84" s="30" t="s">
        <v>270</v>
      </c>
      <c r="B84" s="30"/>
      <c r="C84" s="35" t="s">
        <v>346</v>
      </c>
      <c r="D84" s="35" t="s">
        <v>346</v>
      </c>
      <c r="E84" s="40" t="s">
        <v>346</v>
      </c>
      <c r="F84" s="145"/>
    </row>
    <row r="85" spans="1:6" ht="14.25">
      <c r="A85" s="30" t="s">
        <v>271</v>
      </c>
      <c r="B85" s="30" t="s">
        <v>38</v>
      </c>
      <c r="C85" s="35">
        <v>290</v>
      </c>
      <c r="D85" s="35">
        <v>3800</v>
      </c>
      <c r="E85" s="40" t="s">
        <v>5</v>
      </c>
      <c r="F85" s="146" t="s">
        <v>37</v>
      </c>
    </row>
    <row r="86" spans="1:6" ht="14.25">
      <c r="A86" s="30" t="s">
        <v>272</v>
      </c>
      <c r="B86" s="30" t="s">
        <v>39</v>
      </c>
      <c r="C86" s="35">
        <v>27.2</v>
      </c>
      <c r="D86" s="35">
        <v>4000</v>
      </c>
      <c r="E86" s="40" t="s">
        <v>5</v>
      </c>
      <c r="F86" s="146" t="s">
        <v>37</v>
      </c>
    </row>
    <row r="87" spans="1:6" ht="14.25">
      <c r="A87" s="32" t="s">
        <v>273</v>
      </c>
      <c r="B87" s="32" t="s">
        <v>346</v>
      </c>
      <c r="C87" s="33">
        <v>1970</v>
      </c>
      <c r="D87" s="32"/>
      <c r="E87" s="38" t="s">
        <v>5</v>
      </c>
      <c r="F87" s="145" t="s">
        <v>6</v>
      </c>
    </row>
    <row r="88" spans="1:6" ht="14.25">
      <c r="A88" s="32" t="s">
        <v>274</v>
      </c>
      <c r="B88" s="32" t="s">
        <v>346</v>
      </c>
      <c r="C88" s="34"/>
      <c r="D88" s="32"/>
      <c r="E88" s="38" t="s">
        <v>346</v>
      </c>
      <c r="F88" s="32" t="s">
        <v>346</v>
      </c>
    </row>
    <row r="89" spans="1:6" ht="14.25">
      <c r="A89" s="32" t="s">
        <v>475</v>
      </c>
      <c r="B89" s="32" t="s">
        <v>275</v>
      </c>
      <c r="C89" s="33">
        <v>5</v>
      </c>
      <c r="D89" s="32"/>
      <c r="E89" s="38" t="s">
        <v>5</v>
      </c>
      <c r="F89" s="145" t="s">
        <v>6</v>
      </c>
    </row>
    <row r="90" spans="1:6" ht="14.25">
      <c r="A90" s="30" t="s">
        <v>40</v>
      </c>
      <c r="B90" s="30"/>
      <c r="C90" s="31"/>
      <c r="D90" s="31"/>
      <c r="E90" s="39"/>
      <c r="F90" s="145"/>
    </row>
    <row r="91" spans="1:6" ht="14.25">
      <c r="A91" s="30" t="s">
        <v>41</v>
      </c>
      <c r="B91" s="30"/>
      <c r="C91" s="31"/>
      <c r="D91" s="31"/>
      <c r="E91" s="39"/>
      <c r="F91" s="145"/>
    </row>
    <row r="92" spans="1:6" ht="14.25">
      <c r="A92" s="32" t="s">
        <v>276</v>
      </c>
      <c r="B92" s="32" t="s">
        <v>346</v>
      </c>
      <c r="C92" s="34"/>
      <c r="D92" s="32"/>
      <c r="E92" s="38" t="s">
        <v>346</v>
      </c>
      <c r="F92" s="32" t="s">
        <v>346</v>
      </c>
    </row>
    <row r="93" spans="1:6" ht="14.25">
      <c r="A93" s="30" t="s">
        <v>277</v>
      </c>
      <c r="B93" s="30"/>
      <c r="C93" s="35">
        <v>180</v>
      </c>
      <c r="D93" s="35">
        <v>2600</v>
      </c>
      <c r="E93" s="40" t="s">
        <v>5</v>
      </c>
      <c r="F93" s="146" t="s">
        <v>42</v>
      </c>
    </row>
    <row r="94" spans="1:6" ht="19.5" customHeight="1">
      <c r="A94" s="148" t="s">
        <v>659</v>
      </c>
      <c r="B94" s="148" t="s">
        <v>1</v>
      </c>
      <c r="C94" s="149" t="s">
        <v>660</v>
      </c>
      <c r="D94" s="149" t="s">
        <v>661</v>
      </c>
      <c r="E94" s="150" t="s">
        <v>491</v>
      </c>
      <c r="F94" s="150" t="s">
        <v>2</v>
      </c>
    </row>
    <row r="95" spans="1:6" ht="14.25">
      <c r="A95" s="32" t="s">
        <v>278</v>
      </c>
      <c r="B95" s="32" t="s">
        <v>346</v>
      </c>
      <c r="C95" s="34"/>
      <c r="D95" s="32"/>
      <c r="E95" s="38" t="s">
        <v>346</v>
      </c>
      <c r="F95" s="32" t="s">
        <v>346</v>
      </c>
    </row>
    <row r="96" spans="1:6" ht="14.25">
      <c r="A96" s="30" t="s">
        <v>279</v>
      </c>
      <c r="B96" s="30"/>
      <c r="C96" s="35" t="s">
        <v>346</v>
      </c>
      <c r="D96" s="35" t="s">
        <v>346</v>
      </c>
      <c r="E96" s="40" t="s">
        <v>346</v>
      </c>
      <c r="F96" s="145" t="s">
        <v>43</v>
      </c>
    </row>
    <row r="97" spans="1:6" ht="14.25">
      <c r="A97" s="30" t="s">
        <v>406</v>
      </c>
      <c r="B97" s="30"/>
      <c r="C97" s="31"/>
      <c r="D97" s="31"/>
      <c r="E97" s="39"/>
      <c r="F97" s="145"/>
    </row>
    <row r="98" spans="1:6" ht="14.25">
      <c r="A98" s="32" t="s">
        <v>407</v>
      </c>
      <c r="B98" s="32" t="s">
        <v>346</v>
      </c>
      <c r="C98" s="34"/>
      <c r="D98" s="32"/>
      <c r="E98" s="38" t="s">
        <v>346</v>
      </c>
      <c r="F98" s="32" t="s">
        <v>346</v>
      </c>
    </row>
    <row r="99" spans="1:6" ht="14.25">
      <c r="A99" s="30" t="s">
        <v>349</v>
      </c>
      <c r="B99" s="30"/>
      <c r="C99" s="31">
        <v>650</v>
      </c>
      <c r="D99" s="31"/>
      <c r="E99" s="39" t="s">
        <v>5</v>
      </c>
      <c r="F99" s="145" t="s">
        <v>44</v>
      </c>
    </row>
    <row r="100" spans="1:6" ht="14.25">
      <c r="A100" s="32" t="s">
        <v>352</v>
      </c>
      <c r="B100" s="32" t="s">
        <v>346</v>
      </c>
      <c r="C100" s="34"/>
      <c r="D100" s="32"/>
      <c r="E100" s="38" t="s">
        <v>346</v>
      </c>
      <c r="F100" s="32" t="s">
        <v>346</v>
      </c>
    </row>
    <row r="101" spans="1:6" ht="14.25">
      <c r="A101" s="32" t="s">
        <v>280</v>
      </c>
      <c r="B101" s="32" t="s">
        <v>346</v>
      </c>
      <c r="C101" s="34"/>
      <c r="D101" s="32"/>
      <c r="E101" s="38" t="s">
        <v>346</v>
      </c>
      <c r="F101" s="32" t="s">
        <v>346</v>
      </c>
    </row>
    <row r="102" spans="1:6" ht="14.25">
      <c r="A102" s="30" t="s">
        <v>281</v>
      </c>
      <c r="B102" s="30"/>
      <c r="C102" s="35">
        <v>0.99</v>
      </c>
      <c r="D102" s="35">
        <v>4.98</v>
      </c>
      <c r="E102" s="40" t="s">
        <v>347</v>
      </c>
      <c r="F102" s="146" t="s">
        <v>31</v>
      </c>
    </row>
    <row r="103" spans="1:6" ht="14.25">
      <c r="A103" s="30" t="s">
        <v>282</v>
      </c>
      <c r="B103" s="30"/>
      <c r="C103" s="35" t="s">
        <v>346</v>
      </c>
      <c r="D103" s="35" t="s">
        <v>346</v>
      </c>
      <c r="E103" s="40" t="s">
        <v>346</v>
      </c>
      <c r="F103" s="145"/>
    </row>
    <row r="104" spans="1:6" ht="14.25">
      <c r="A104" s="30" t="s">
        <v>283</v>
      </c>
      <c r="B104" s="30"/>
      <c r="C104" s="35" t="s">
        <v>346</v>
      </c>
      <c r="D104" s="35">
        <v>1600</v>
      </c>
      <c r="E104" s="40" t="s">
        <v>5</v>
      </c>
      <c r="F104" s="145" t="s">
        <v>45</v>
      </c>
    </row>
    <row r="105" spans="1:6" ht="14.25">
      <c r="A105" s="32" t="s">
        <v>46</v>
      </c>
      <c r="B105" s="32" t="s">
        <v>346</v>
      </c>
      <c r="C105" s="34"/>
      <c r="D105" s="32"/>
      <c r="E105" s="38" t="s">
        <v>346</v>
      </c>
      <c r="F105" s="32" t="s">
        <v>346</v>
      </c>
    </row>
    <row r="106" spans="1:6" ht="14.25">
      <c r="A106" s="32" t="s">
        <v>484</v>
      </c>
      <c r="B106" s="32" t="s">
        <v>346</v>
      </c>
      <c r="C106" s="33">
        <v>23.9</v>
      </c>
      <c r="D106" s="32"/>
      <c r="E106" s="38" t="s">
        <v>5</v>
      </c>
      <c r="F106" s="32" t="s">
        <v>346</v>
      </c>
    </row>
    <row r="107" spans="1:6" ht="14.25">
      <c r="A107" s="30" t="s">
        <v>486</v>
      </c>
      <c r="B107" s="30"/>
      <c r="C107" s="31">
        <v>1200</v>
      </c>
      <c r="D107" s="31"/>
      <c r="E107" s="39" t="s">
        <v>5</v>
      </c>
      <c r="F107" s="145" t="s">
        <v>47</v>
      </c>
    </row>
    <row r="108" spans="1:6" ht="14.25">
      <c r="A108" s="32" t="s">
        <v>419</v>
      </c>
      <c r="B108" s="32" t="s">
        <v>346</v>
      </c>
      <c r="C108" s="34"/>
      <c r="D108" s="32"/>
      <c r="E108" s="38" t="s">
        <v>346</v>
      </c>
      <c r="F108" s="32" t="s">
        <v>346</v>
      </c>
    </row>
    <row r="109" spans="1:6" ht="14.25">
      <c r="A109" s="32" t="s">
        <v>420</v>
      </c>
      <c r="B109" s="32" t="s">
        <v>346</v>
      </c>
      <c r="C109" s="34"/>
      <c r="D109" s="32"/>
      <c r="E109" s="38" t="s">
        <v>346</v>
      </c>
      <c r="F109" s="32" t="s">
        <v>346</v>
      </c>
    </row>
    <row r="110" spans="1:6" ht="14.25">
      <c r="A110" s="30" t="s">
        <v>476</v>
      </c>
      <c r="B110" s="30" t="s">
        <v>48</v>
      </c>
      <c r="C110" s="35">
        <v>3.2</v>
      </c>
      <c r="D110" s="35">
        <v>18</v>
      </c>
      <c r="E110" s="40" t="s">
        <v>5</v>
      </c>
      <c r="F110" s="146" t="s">
        <v>31</v>
      </c>
    </row>
    <row r="111" spans="1:6" ht="14.25">
      <c r="A111" s="30" t="s">
        <v>364</v>
      </c>
      <c r="B111" s="30"/>
      <c r="C111" s="31"/>
      <c r="D111" s="31"/>
      <c r="E111" s="39"/>
      <c r="F111" s="145"/>
    </row>
    <row r="112" spans="1:6" ht="14.25">
      <c r="A112" s="30" t="s">
        <v>365</v>
      </c>
      <c r="B112" s="30"/>
      <c r="C112" s="31">
        <v>820</v>
      </c>
      <c r="D112" s="31"/>
      <c r="E112" s="39" t="s">
        <v>5</v>
      </c>
      <c r="F112" s="145" t="s">
        <v>47</v>
      </c>
    </row>
    <row r="113" spans="1:6" ht="14.25">
      <c r="A113" s="30" t="s">
        <v>366</v>
      </c>
      <c r="B113" s="30"/>
      <c r="C113" s="31"/>
      <c r="D113" s="31"/>
      <c r="E113" s="39"/>
      <c r="F113" s="145"/>
    </row>
    <row r="114" spans="1:6" ht="14.25">
      <c r="A114" s="30" t="s">
        <v>367</v>
      </c>
      <c r="B114" s="30"/>
      <c r="C114" s="31">
        <v>0.4</v>
      </c>
      <c r="D114" s="31"/>
      <c r="E114" s="39" t="s">
        <v>5</v>
      </c>
      <c r="F114" s="145" t="s">
        <v>49</v>
      </c>
    </row>
    <row r="115" spans="1:6" ht="14.25">
      <c r="A115" s="30" t="s">
        <v>369</v>
      </c>
      <c r="B115" s="30"/>
      <c r="C115" s="31"/>
      <c r="D115" s="31"/>
      <c r="E115" s="39"/>
      <c r="F115" s="145"/>
    </row>
    <row r="116" spans="1:6" ht="14.25">
      <c r="A116" s="30" t="s">
        <v>421</v>
      </c>
      <c r="B116" s="30"/>
      <c r="C116" s="35" t="s">
        <v>346</v>
      </c>
      <c r="D116" s="35" t="s">
        <v>346</v>
      </c>
      <c r="E116" s="40" t="s">
        <v>346</v>
      </c>
      <c r="F116" s="145"/>
    </row>
    <row r="117" spans="1:6" ht="14.25">
      <c r="A117" s="30" t="s">
        <v>422</v>
      </c>
      <c r="B117" s="30"/>
      <c r="C117" s="35">
        <v>43.4</v>
      </c>
      <c r="D117" s="35">
        <v>111</v>
      </c>
      <c r="E117" s="40" t="s">
        <v>347</v>
      </c>
      <c r="F117" s="146" t="s">
        <v>31</v>
      </c>
    </row>
    <row r="118" spans="1:6" ht="14.25">
      <c r="A118" s="30" t="s">
        <v>423</v>
      </c>
      <c r="B118" s="30"/>
      <c r="C118" s="35">
        <v>166</v>
      </c>
      <c r="D118" s="35">
        <v>1290</v>
      </c>
      <c r="E118" s="40" t="s">
        <v>5</v>
      </c>
      <c r="F118" s="146" t="s">
        <v>31</v>
      </c>
    </row>
    <row r="119" spans="1:6" ht="14.25">
      <c r="A119" s="30" t="s">
        <v>371</v>
      </c>
      <c r="B119" s="30"/>
      <c r="C119" s="31"/>
      <c r="D119" s="31"/>
      <c r="E119" s="39"/>
      <c r="F119" s="145"/>
    </row>
    <row r="120" spans="1:6" ht="14.25">
      <c r="A120" s="30" t="s">
        <v>374</v>
      </c>
      <c r="B120" s="30"/>
      <c r="C120" s="31"/>
      <c r="D120" s="31"/>
      <c r="E120" s="39"/>
      <c r="F120" s="145"/>
    </row>
    <row r="121" spans="1:6" ht="14.25">
      <c r="A121" s="30" t="s">
        <v>424</v>
      </c>
      <c r="B121" s="30"/>
      <c r="C121" s="35" t="s">
        <v>346</v>
      </c>
      <c r="D121" s="35" t="s">
        <v>346</v>
      </c>
      <c r="E121" s="40" t="s">
        <v>346</v>
      </c>
      <c r="F121" s="145"/>
    </row>
    <row r="122" spans="1:6" ht="14.25">
      <c r="A122" s="30" t="s">
        <v>425</v>
      </c>
      <c r="B122" s="30"/>
      <c r="C122" s="35" t="s">
        <v>346</v>
      </c>
      <c r="D122" s="35" t="s">
        <v>346</v>
      </c>
      <c r="E122" s="40" t="s">
        <v>346</v>
      </c>
      <c r="F122" s="145"/>
    </row>
    <row r="123" spans="1:6" ht="14.25">
      <c r="A123" s="30" t="s">
        <v>426</v>
      </c>
      <c r="B123" s="30"/>
      <c r="C123" s="35" t="s">
        <v>346</v>
      </c>
      <c r="D123" s="35" t="s">
        <v>346</v>
      </c>
      <c r="E123" s="40" t="s">
        <v>346</v>
      </c>
      <c r="F123" s="145"/>
    </row>
    <row r="124" spans="1:6" ht="14.25">
      <c r="A124" s="30" t="s">
        <v>427</v>
      </c>
      <c r="B124" s="30"/>
      <c r="C124" s="35">
        <v>50</v>
      </c>
      <c r="D124" s="35" t="s">
        <v>346</v>
      </c>
      <c r="E124" s="40" t="s">
        <v>347</v>
      </c>
      <c r="F124" s="145" t="s">
        <v>50</v>
      </c>
    </row>
    <row r="125" spans="1:6" ht="14.25">
      <c r="A125" s="30" t="s">
        <v>428</v>
      </c>
      <c r="B125" s="30"/>
      <c r="C125" s="35">
        <v>31.6</v>
      </c>
      <c r="D125" s="35">
        <v>149</v>
      </c>
      <c r="E125" s="40" t="s">
        <v>347</v>
      </c>
      <c r="F125" s="146" t="s">
        <v>31</v>
      </c>
    </row>
    <row r="126" spans="1:6" ht="14.25">
      <c r="A126" s="30" t="s">
        <v>379</v>
      </c>
      <c r="B126" s="30"/>
      <c r="C126" s="31">
        <v>0.1</v>
      </c>
      <c r="D126" s="31"/>
      <c r="E126" s="39" t="s">
        <v>347</v>
      </c>
      <c r="F126" s="145" t="s">
        <v>6</v>
      </c>
    </row>
    <row r="127" spans="1:6" ht="14.25">
      <c r="A127" s="32" t="s">
        <v>51</v>
      </c>
      <c r="B127" s="32" t="s">
        <v>346</v>
      </c>
      <c r="C127" s="34"/>
      <c r="D127" s="32"/>
      <c r="E127" s="38" t="s">
        <v>346</v>
      </c>
      <c r="F127" s="32" t="s">
        <v>346</v>
      </c>
    </row>
    <row r="128" spans="1:6" ht="14.25">
      <c r="A128" s="32" t="s">
        <v>52</v>
      </c>
      <c r="B128" s="32" t="s">
        <v>346</v>
      </c>
      <c r="C128" s="34"/>
      <c r="D128" s="32"/>
      <c r="E128" s="38" t="s">
        <v>346</v>
      </c>
      <c r="F128" s="32" t="s">
        <v>346</v>
      </c>
    </row>
    <row r="129" spans="1:6" ht="14.25">
      <c r="A129" s="30" t="s">
        <v>429</v>
      </c>
      <c r="B129" s="30"/>
      <c r="C129" s="35" t="s">
        <v>346</v>
      </c>
      <c r="D129" s="35" t="s">
        <v>346</v>
      </c>
      <c r="E129" s="40" t="s">
        <v>346</v>
      </c>
      <c r="F129" s="145"/>
    </row>
    <row r="130" spans="1:6" ht="14.25">
      <c r="A130" s="32" t="s">
        <v>53</v>
      </c>
      <c r="B130" s="32" t="s">
        <v>54</v>
      </c>
      <c r="C130" s="33">
        <v>71500</v>
      </c>
      <c r="D130" s="32"/>
      <c r="E130" s="38" t="s">
        <v>5</v>
      </c>
      <c r="F130" s="145" t="s">
        <v>6</v>
      </c>
    </row>
    <row r="131" spans="1:6" ht="14.25">
      <c r="A131" s="30" t="s">
        <v>430</v>
      </c>
      <c r="B131" s="30"/>
      <c r="C131" s="35">
        <v>0.38</v>
      </c>
      <c r="D131" s="35" t="s">
        <v>346</v>
      </c>
      <c r="E131" s="40" t="s">
        <v>5</v>
      </c>
      <c r="F131" s="145" t="s">
        <v>49</v>
      </c>
    </row>
    <row r="132" spans="1:6" ht="14.25">
      <c r="A132" s="30" t="s">
        <v>431</v>
      </c>
      <c r="B132" s="30" t="s">
        <v>55</v>
      </c>
      <c r="C132" s="35">
        <v>33</v>
      </c>
      <c r="D132" s="35">
        <v>140</v>
      </c>
      <c r="E132" s="40" t="s">
        <v>5</v>
      </c>
      <c r="F132" s="145" t="s">
        <v>56</v>
      </c>
    </row>
    <row r="133" spans="1:6" ht="14.25">
      <c r="A133" s="30" t="s">
        <v>432</v>
      </c>
      <c r="B133" s="30"/>
      <c r="C133" s="35" t="s">
        <v>346</v>
      </c>
      <c r="D133" s="35" t="s">
        <v>346</v>
      </c>
      <c r="E133" s="40" t="s">
        <v>346</v>
      </c>
      <c r="F133" s="145"/>
    </row>
    <row r="134" spans="1:6" ht="14.25">
      <c r="A134" s="30" t="s">
        <v>391</v>
      </c>
      <c r="B134" s="30"/>
      <c r="C134" s="31"/>
      <c r="D134" s="31"/>
      <c r="E134" s="39"/>
      <c r="F134" s="145"/>
    </row>
    <row r="135" spans="1:6" ht="14.25">
      <c r="A135" s="32" t="s">
        <v>433</v>
      </c>
      <c r="B135" s="32" t="s">
        <v>346</v>
      </c>
      <c r="C135" s="34"/>
      <c r="D135" s="32"/>
      <c r="E135" s="38" t="s">
        <v>346</v>
      </c>
      <c r="F135" s="32" t="s">
        <v>346</v>
      </c>
    </row>
    <row r="136" spans="1:6" ht="14.25">
      <c r="A136" s="30" t="s">
        <v>434</v>
      </c>
      <c r="B136" s="30"/>
      <c r="C136" s="35">
        <v>1.9</v>
      </c>
      <c r="D136" s="35">
        <v>62</v>
      </c>
      <c r="E136" s="40" t="s">
        <v>5</v>
      </c>
      <c r="F136" s="146" t="s">
        <v>31</v>
      </c>
    </row>
    <row r="137" spans="1:6" ht="14.25">
      <c r="A137" s="30" t="s">
        <v>435</v>
      </c>
      <c r="B137" s="30"/>
      <c r="C137" s="35">
        <v>630</v>
      </c>
      <c r="D137" s="35"/>
      <c r="E137" s="40" t="s">
        <v>5</v>
      </c>
      <c r="F137" s="146" t="s">
        <v>57</v>
      </c>
    </row>
    <row r="138" spans="1:6" ht="14.25">
      <c r="A138" s="30" t="s">
        <v>436</v>
      </c>
      <c r="B138" s="30"/>
      <c r="C138" s="35">
        <v>160</v>
      </c>
      <c r="D138" s="35"/>
      <c r="E138" s="40" t="s">
        <v>5</v>
      </c>
      <c r="F138" s="146" t="s">
        <v>58</v>
      </c>
    </row>
    <row r="139" spans="1:6" ht="14.25">
      <c r="A139" s="30" t="s">
        <v>59</v>
      </c>
      <c r="B139" s="30"/>
      <c r="C139" s="31"/>
      <c r="D139" s="31"/>
      <c r="E139" s="39"/>
      <c r="F139" s="145"/>
    </row>
    <row r="140" spans="1:6" ht="14.25">
      <c r="A140" s="30" t="s">
        <v>437</v>
      </c>
      <c r="B140" s="30"/>
      <c r="C140" s="35"/>
      <c r="D140" s="35">
        <v>43</v>
      </c>
      <c r="E140" s="40" t="s">
        <v>5</v>
      </c>
      <c r="F140" s="146" t="s">
        <v>60</v>
      </c>
    </row>
    <row r="141" spans="1:6" ht="18" customHeight="1">
      <c r="A141" s="148" t="s">
        <v>659</v>
      </c>
      <c r="B141" s="148" t="s">
        <v>1</v>
      </c>
      <c r="C141" s="149" t="s">
        <v>660</v>
      </c>
      <c r="D141" s="149" t="s">
        <v>661</v>
      </c>
      <c r="E141" s="150" t="s">
        <v>491</v>
      </c>
      <c r="F141" s="150" t="s">
        <v>2</v>
      </c>
    </row>
    <row r="142" spans="1:6" ht="14.25">
      <c r="A142" s="32" t="s">
        <v>438</v>
      </c>
      <c r="B142" s="32" t="s">
        <v>346</v>
      </c>
      <c r="C142" s="33">
        <v>40600</v>
      </c>
      <c r="D142" s="31"/>
      <c r="E142" s="38" t="s">
        <v>5</v>
      </c>
      <c r="F142" s="145" t="s">
        <v>6</v>
      </c>
    </row>
    <row r="143" spans="1:6" ht="14.25">
      <c r="A143" s="30" t="s">
        <v>61</v>
      </c>
      <c r="B143" s="30"/>
      <c r="C143" s="31"/>
      <c r="D143" s="31"/>
      <c r="E143" s="39"/>
      <c r="F143" s="145"/>
    </row>
    <row r="144" spans="1:6" ht="14.25">
      <c r="A144" s="30" t="s">
        <v>62</v>
      </c>
      <c r="B144" s="30"/>
      <c r="C144" s="31"/>
      <c r="D144" s="31"/>
      <c r="E144" s="39"/>
      <c r="F144" s="145"/>
    </row>
    <row r="145" spans="1:6" ht="14.25">
      <c r="A145" s="30" t="s">
        <v>63</v>
      </c>
      <c r="B145" s="30"/>
      <c r="C145" s="31"/>
      <c r="D145" s="31"/>
      <c r="E145" s="39"/>
      <c r="F145" s="145"/>
    </row>
    <row r="146" spans="1:6" ht="14.25">
      <c r="A146" s="30" t="s">
        <v>24</v>
      </c>
      <c r="B146" s="30"/>
      <c r="C146" s="31">
        <v>2.9</v>
      </c>
      <c r="D146" s="31"/>
      <c r="E146" s="39" t="s">
        <v>5</v>
      </c>
      <c r="F146" s="147" t="s">
        <v>64</v>
      </c>
    </row>
    <row r="147" spans="1:6" ht="14.25">
      <c r="A147" s="30" t="s">
        <v>65</v>
      </c>
      <c r="B147" s="30"/>
      <c r="C147" s="31">
        <v>14</v>
      </c>
      <c r="D147" s="31"/>
      <c r="E147" s="39" t="s">
        <v>5</v>
      </c>
      <c r="F147" s="147" t="s">
        <v>64</v>
      </c>
    </row>
    <row r="148" spans="1:6" ht="14.25">
      <c r="A148" s="32" t="s">
        <v>66</v>
      </c>
      <c r="B148" s="32" t="s">
        <v>346</v>
      </c>
      <c r="C148" s="33">
        <v>34.6</v>
      </c>
      <c r="D148" s="32"/>
      <c r="E148" s="38" t="s">
        <v>5</v>
      </c>
      <c r="F148" s="145" t="s">
        <v>6</v>
      </c>
    </row>
    <row r="149" spans="1:6" ht="14.25">
      <c r="A149" s="30" t="s">
        <v>439</v>
      </c>
      <c r="B149" s="30"/>
      <c r="C149" s="35">
        <v>2.2</v>
      </c>
      <c r="D149" s="35">
        <v>210</v>
      </c>
      <c r="E149" s="40" t="s">
        <v>5</v>
      </c>
      <c r="F149" s="146" t="s">
        <v>31</v>
      </c>
    </row>
    <row r="150" spans="1:6" ht="14.25">
      <c r="A150" s="32" t="s">
        <v>67</v>
      </c>
      <c r="B150" s="32" t="s">
        <v>346</v>
      </c>
      <c r="C150" s="33">
        <v>480</v>
      </c>
      <c r="D150" s="32"/>
      <c r="E150" s="38" t="s">
        <v>5</v>
      </c>
      <c r="F150" s="145" t="s">
        <v>6</v>
      </c>
    </row>
    <row r="151" spans="1:6" ht="14.25">
      <c r="A151" s="32" t="s">
        <v>440</v>
      </c>
      <c r="B151" s="32" t="s">
        <v>346</v>
      </c>
      <c r="C151" s="34"/>
      <c r="D151" s="32"/>
      <c r="E151" s="38" t="s">
        <v>346</v>
      </c>
      <c r="F151" s="32" t="s">
        <v>346</v>
      </c>
    </row>
    <row r="152" spans="1:6" ht="14.25">
      <c r="A152" s="32" t="s">
        <v>350</v>
      </c>
      <c r="B152" s="32" t="s">
        <v>346</v>
      </c>
      <c r="C152" s="33">
        <v>175</v>
      </c>
      <c r="D152" s="32"/>
      <c r="E152" s="38" t="s">
        <v>5</v>
      </c>
      <c r="F152" s="145" t="s">
        <v>6</v>
      </c>
    </row>
    <row r="153" spans="1:6" ht="14.25">
      <c r="A153" s="32" t="s">
        <v>441</v>
      </c>
      <c r="B153" s="32" t="s">
        <v>346</v>
      </c>
      <c r="C153" s="34"/>
      <c r="D153" s="32"/>
      <c r="E153" s="38" t="s">
        <v>346</v>
      </c>
      <c r="F153" s="32" t="s">
        <v>346</v>
      </c>
    </row>
    <row r="154" spans="1:6" ht="14.25">
      <c r="A154" s="30" t="s">
        <v>442</v>
      </c>
      <c r="B154" s="30"/>
      <c r="C154" s="35">
        <v>423</v>
      </c>
      <c r="D154" s="35">
        <v>2230</v>
      </c>
      <c r="E154" s="40" t="s">
        <v>5</v>
      </c>
      <c r="F154" s="146" t="s">
        <v>31</v>
      </c>
    </row>
    <row r="155" spans="1:6" ht="14.25">
      <c r="A155" s="30" t="s">
        <v>477</v>
      </c>
      <c r="B155" s="30"/>
      <c r="C155" s="36">
        <v>77.4</v>
      </c>
      <c r="D155" s="36">
        <v>536</v>
      </c>
      <c r="E155" s="41" t="s">
        <v>5</v>
      </c>
      <c r="F155" s="146" t="s">
        <v>31</v>
      </c>
    </row>
    <row r="156" spans="1:6" ht="14.25">
      <c r="A156" s="32" t="s">
        <v>482</v>
      </c>
      <c r="B156" s="32" t="s">
        <v>346</v>
      </c>
      <c r="C156" s="34"/>
      <c r="D156" s="32"/>
      <c r="E156" s="38" t="s">
        <v>346</v>
      </c>
      <c r="F156" s="32" t="s">
        <v>346</v>
      </c>
    </row>
    <row r="157" spans="1:6" ht="14.25">
      <c r="A157" s="32" t="s">
        <v>68</v>
      </c>
      <c r="B157" s="32" t="s">
        <v>346</v>
      </c>
      <c r="C157" s="34"/>
      <c r="D157" s="32"/>
      <c r="E157" s="38" t="s">
        <v>346</v>
      </c>
      <c r="F157" s="32" t="s">
        <v>346</v>
      </c>
    </row>
    <row r="158" spans="1:6" ht="14.25">
      <c r="A158" s="32" t="s">
        <v>443</v>
      </c>
      <c r="B158" s="32" t="s">
        <v>346</v>
      </c>
      <c r="C158" s="34"/>
      <c r="D158" s="32"/>
      <c r="E158" s="38" t="s">
        <v>346</v>
      </c>
      <c r="F158" s="32" t="s">
        <v>346</v>
      </c>
    </row>
    <row r="159" spans="1:6" ht="14.25">
      <c r="A159" s="30" t="s">
        <v>444</v>
      </c>
      <c r="B159" s="30"/>
      <c r="C159" s="35" t="s">
        <v>346</v>
      </c>
      <c r="D159" s="35" t="s">
        <v>346</v>
      </c>
      <c r="E159" s="40" t="s">
        <v>346</v>
      </c>
      <c r="F159" s="145"/>
    </row>
    <row r="160" spans="1:6" ht="14.25">
      <c r="A160" s="32" t="s">
        <v>69</v>
      </c>
      <c r="B160" s="32" t="s">
        <v>346</v>
      </c>
      <c r="C160" s="34"/>
      <c r="D160" s="32"/>
      <c r="E160" s="38" t="s">
        <v>346</v>
      </c>
      <c r="F160" s="32" t="s">
        <v>346</v>
      </c>
    </row>
    <row r="161" spans="1:6" ht="14.25">
      <c r="A161" s="32" t="s">
        <v>70</v>
      </c>
      <c r="B161" s="32" t="s">
        <v>346</v>
      </c>
      <c r="C161" s="34"/>
      <c r="D161" s="32"/>
      <c r="E161" s="38" t="s">
        <v>346</v>
      </c>
      <c r="F161" s="32" t="s">
        <v>346</v>
      </c>
    </row>
    <row r="162" spans="1:6" ht="14.25">
      <c r="A162" s="32" t="s">
        <v>71</v>
      </c>
      <c r="B162" s="32" t="s">
        <v>346</v>
      </c>
      <c r="C162" s="34"/>
      <c r="D162" s="32"/>
      <c r="E162" s="38" t="s">
        <v>346</v>
      </c>
      <c r="F162" s="32" t="s">
        <v>346</v>
      </c>
    </row>
    <row r="163" spans="1:6" ht="14.25">
      <c r="A163" s="32" t="s">
        <v>445</v>
      </c>
      <c r="B163" s="32" t="s">
        <v>346</v>
      </c>
      <c r="C163" s="33">
        <v>0.6</v>
      </c>
      <c r="D163" s="33">
        <v>10</v>
      </c>
      <c r="E163" s="38" t="s">
        <v>5</v>
      </c>
      <c r="F163" s="145" t="s">
        <v>72</v>
      </c>
    </row>
    <row r="164" spans="1:6" ht="14.25">
      <c r="A164" s="30" t="s">
        <v>446</v>
      </c>
      <c r="B164" s="30"/>
      <c r="C164" s="35">
        <v>2.5</v>
      </c>
      <c r="D164" s="35">
        <v>16</v>
      </c>
      <c r="E164" s="40" t="s">
        <v>5</v>
      </c>
      <c r="F164" s="146" t="s">
        <v>29</v>
      </c>
    </row>
    <row r="165" spans="1:6" ht="14.25">
      <c r="A165" s="30" t="s">
        <v>447</v>
      </c>
      <c r="B165" s="30"/>
      <c r="C165" s="35">
        <v>20</v>
      </c>
      <c r="D165" s="35">
        <v>240</v>
      </c>
      <c r="E165" s="40" t="s">
        <v>5</v>
      </c>
      <c r="F165" s="145" t="s">
        <v>73</v>
      </c>
    </row>
    <row r="166" spans="1:6" ht="14.25">
      <c r="A166" s="32" t="s">
        <v>487</v>
      </c>
      <c r="B166" s="32" t="s">
        <v>346</v>
      </c>
      <c r="C166" s="34"/>
      <c r="D166" s="32"/>
      <c r="E166" s="38" t="s">
        <v>346</v>
      </c>
      <c r="F166" s="32" t="s">
        <v>346</v>
      </c>
    </row>
    <row r="167" spans="1:6" ht="14.25">
      <c r="A167" s="32" t="s">
        <v>448</v>
      </c>
      <c r="B167" s="32" t="s">
        <v>346</v>
      </c>
      <c r="C167" s="34"/>
      <c r="D167" s="32"/>
      <c r="E167" s="38" t="s">
        <v>346</v>
      </c>
      <c r="F167" s="32" t="s">
        <v>346</v>
      </c>
    </row>
    <row r="168" spans="1:6" ht="14.25">
      <c r="A168" s="30" t="s">
        <v>74</v>
      </c>
      <c r="B168" s="30" t="s">
        <v>449</v>
      </c>
      <c r="C168" s="31">
        <v>78</v>
      </c>
      <c r="D168" s="31">
        <v>3800</v>
      </c>
      <c r="E168" s="39" t="s">
        <v>5</v>
      </c>
      <c r="F168" s="146" t="s">
        <v>75</v>
      </c>
    </row>
    <row r="169" spans="1:6" ht="14.25">
      <c r="A169" s="30" t="s">
        <v>450</v>
      </c>
      <c r="B169" s="30"/>
      <c r="C169" s="35" t="s">
        <v>346</v>
      </c>
      <c r="D169" s="35" t="s">
        <v>346</v>
      </c>
      <c r="E169" s="40" t="s">
        <v>346</v>
      </c>
      <c r="F169" s="145"/>
    </row>
    <row r="170" spans="1:6" ht="14.25">
      <c r="A170" s="30" t="s">
        <v>451</v>
      </c>
      <c r="B170" s="30"/>
      <c r="C170" s="35">
        <v>188400</v>
      </c>
      <c r="D170" s="35">
        <v>247600</v>
      </c>
      <c r="E170" s="40" t="s">
        <v>347</v>
      </c>
      <c r="F170" s="145" t="s">
        <v>26</v>
      </c>
    </row>
    <row r="171" spans="1:6" ht="14.25">
      <c r="A171" s="32" t="s">
        <v>452</v>
      </c>
      <c r="B171" s="32" t="s">
        <v>346</v>
      </c>
      <c r="C171" s="33">
        <v>55.2</v>
      </c>
      <c r="D171" s="32"/>
      <c r="E171" s="38" t="s">
        <v>5</v>
      </c>
      <c r="F171" s="145" t="s">
        <v>6</v>
      </c>
    </row>
    <row r="172" spans="1:6" ht="14.25">
      <c r="A172" s="30" t="s">
        <v>453</v>
      </c>
      <c r="B172" s="30"/>
      <c r="C172" s="35">
        <v>2400</v>
      </c>
      <c r="D172" s="35" t="s">
        <v>346</v>
      </c>
      <c r="E172" s="40" t="s">
        <v>5</v>
      </c>
      <c r="F172" s="145" t="s">
        <v>78</v>
      </c>
    </row>
    <row r="173" spans="1:6" ht="14.25">
      <c r="A173" s="30" t="s">
        <v>454</v>
      </c>
      <c r="B173" s="30"/>
      <c r="C173" s="35" t="s">
        <v>346</v>
      </c>
      <c r="D173" s="35" t="s">
        <v>346</v>
      </c>
      <c r="E173" s="40" t="s">
        <v>346</v>
      </c>
      <c r="F173" s="145"/>
    </row>
    <row r="174" spans="1:6" ht="14.25">
      <c r="A174" s="30" t="s">
        <v>455</v>
      </c>
      <c r="B174" s="30"/>
      <c r="C174" s="35" t="s">
        <v>346</v>
      </c>
      <c r="D174" s="35" t="s">
        <v>346</v>
      </c>
      <c r="E174" s="40" t="s">
        <v>346</v>
      </c>
      <c r="F174" s="145"/>
    </row>
    <row r="175" spans="1:6" ht="14.25">
      <c r="A175" s="30" t="s">
        <v>456</v>
      </c>
      <c r="B175" s="30"/>
      <c r="C175" s="35">
        <v>35.8</v>
      </c>
      <c r="D175" s="35">
        <v>128</v>
      </c>
      <c r="E175" s="40" t="s">
        <v>347</v>
      </c>
      <c r="F175" s="146" t="s">
        <v>31</v>
      </c>
    </row>
    <row r="176" spans="1:6" ht="14.25">
      <c r="A176" s="32" t="s">
        <v>79</v>
      </c>
      <c r="B176" s="32" t="s">
        <v>346</v>
      </c>
      <c r="C176" s="34"/>
      <c r="D176" s="32"/>
      <c r="E176" s="38" t="s">
        <v>346</v>
      </c>
      <c r="F176" s="32" t="s">
        <v>346</v>
      </c>
    </row>
    <row r="177" spans="1:6" ht="14.25">
      <c r="A177" s="30" t="s">
        <v>457</v>
      </c>
      <c r="B177" s="30" t="s">
        <v>478</v>
      </c>
      <c r="C177" s="35">
        <v>2.4</v>
      </c>
      <c r="D177" s="35">
        <v>5</v>
      </c>
      <c r="E177" s="40" t="s">
        <v>5</v>
      </c>
      <c r="F177" s="146" t="s">
        <v>31</v>
      </c>
    </row>
    <row r="178" spans="1:6" ht="14.25">
      <c r="A178" s="30" t="s">
        <v>458</v>
      </c>
      <c r="B178" s="30"/>
      <c r="C178" s="35" t="s">
        <v>346</v>
      </c>
      <c r="D178" s="35" t="s">
        <v>346</v>
      </c>
      <c r="E178" s="40" t="s">
        <v>346</v>
      </c>
      <c r="F178" s="145"/>
    </row>
    <row r="179" spans="1:6" ht="14.25">
      <c r="A179" s="30" t="s">
        <v>459</v>
      </c>
      <c r="B179" s="30"/>
      <c r="C179" s="35" t="s">
        <v>346</v>
      </c>
      <c r="D179" s="35" t="s">
        <v>346</v>
      </c>
      <c r="E179" s="40" t="s">
        <v>346</v>
      </c>
      <c r="F179" s="145"/>
    </row>
    <row r="180" spans="1:6" ht="14.25">
      <c r="A180" s="30" t="s">
        <v>460</v>
      </c>
      <c r="B180" s="30"/>
      <c r="C180" s="35">
        <v>0.67</v>
      </c>
      <c r="D180" s="35" t="s">
        <v>346</v>
      </c>
      <c r="E180" s="40" t="s">
        <v>5</v>
      </c>
      <c r="F180" s="145" t="s">
        <v>57</v>
      </c>
    </row>
    <row r="181" spans="1:6" ht="14.25">
      <c r="A181" s="30" t="s">
        <v>461</v>
      </c>
      <c r="B181" s="30"/>
      <c r="C181" s="35">
        <v>631</v>
      </c>
      <c r="D181" s="35">
        <v>1184</v>
      </c>
      <c r="E181" s="40" t="s">
        <v>347</v>
      </c>
      <c r="F181" s="145" t="s">
        <v>26</v>
      </c>
    </row>
    <row r="182" spans="1:6" ht="14.25">
      <c r="A182" s="30" t="s">
        <v>462</v>
      </c>
      <c r="B182" s="30"/>
      <c r="C182" s="35">
        <v>0.18</v>
      </c>
      <c r="D182" s="35">
        <v>1.06</v>
      </c>
      <c r="E182" s="40" t="s">
        <v>347</v>
      </c>
      <c r="F182" s="146" t="s">
        <v>31</v>
      </c>
    </row>
    <row r="183" spans="1:6" ht="14.25">
      <c r="A183" s="32" t="s">
        <v>80</v>
      </c>
      <c r="B183" s="32" t="s">
        <v>346</v>
      </c>
      <c r="C183" s="34"/>
      <c r="D183" s="32"/>
      <c r="E183" s="38" t="s">
        <v>346</v>
      </c>
      <c r="F183" s="32" t="s">
        <v>346</v>
      </c>
    </row>
    <row r="184" spans="1:6" ht="14.25">
      <c r="A184" s="30" t="s">
        <v>0</v>
      </c>
      <c r="B184" s="30"/>
      <c r="C184" s="31">
        <v>19</v>
      </c>
      <c r="D184" s="31"/>
      <c r="E184" s="39" t="s">
        <v>5</v>
      </c>
      <c r="F184" s="147" t="s">
        <v>64</v>
      </c>
    </row>
    <row r="185" spans="1:6" ht="14.25">
      <c r="A185" s="30" t="s">
        <v>463</v>
      </c>
      <c r="B185" s="30"/>
      <c r="C185" s="35">
        <v>7.2</v>
      </c>
      <c r="D185" s="35" t="s">
        <v>346</v>
      </c>
      <c r="E185" s="40" t="s">
        <v>5</v>
      </c>
      <c r="F185" s="145" t="s">
        <v>81</v>
      </c>
    </row>
    <row r="186" spans="1:6" ht="14.25">
      <c r="A186" s="30" t="s">
        <v>380</v>
      </c>
      <c r="B186" s="30"/>
      <c r="C186" s="31">
        <v>500</v>
      </c>
      <c r="D186" s="31"/>
      <c r="E186" s="39" t="s">
        <v>5</v>
      </c>
      <c r="F186" s="145" t="s">
        <v>82</v>
      </c>
    </row>
    <row r="187" spans="1:6" ht="19.5" customHeight="1">
      <c r="A187" s="148" t="s">
        <v>659</v>
      </c>
      <c r="B187" s="148" t="s">
        <v>1</v>
      </c>
      <c r="C187" s="149" t="s">
        <v>660</v>
      </c>
      <c r="D187" s="149" t="s">
        <v>661</v>
      </c>
      <c r="E187" s="150" t="s">
        <v>491</v>
      </c>
      <c r="F187" s="150" t="s">
        <v>2</v>
      </c>
    </row>
    <row r="188" spans="1:6" ht="14.25">
      <c r="A188" s="30" t="s">
        <v>464</v>
      </c>
      <c r="B188" s="30"/>
      <c r="C188" s="35">
        <v>11</v>
      </c>
      <c r="D188" s="35">
        <v>800</v>
      </c>
      <c r="E188" s="40" t="s">
        <v>5</v>
      </c>
      <c r="F188" s="145" t="s">
        <v>83</v>
      </c>
    </row>
    <row r="189" spans="1:6" ht="14.25">
      <c r="A189" s="30" t="s">
        <v>84</v>
      </c>
      <c r="B189" s="30"/>
      <c r="C189" s="31"/>
      <c r="D189" s="31"/>
      <c r="E189" s="39"/>
      <c r="F189" s="145"/>
    </row>
    <row r="190" spans="1:6" ht="14.25">
      <c r="A190" s="30" t="s">
        <v>85</v>
      </c>
      <c r="B190" s="30"/>
      <c r="C190" s="31"/>
      <c r="D190" s="31"/>
      <c r="E190" s="39"/>
      <c r="F190" s="145"/>
    </row>
    <row r="191" spans="1:6" ht="14.25">
      <c r="A191" s="30" t="s">
        <v>86</v>
      </c>
      <c r="B191" s="30"/>
      <c r="C191" s="31"/>
      <c r="D191" s="31"/>
      <c r="E191" s="39"/>
      <c r="F191" s="145"/>
    </row>
    <row r="192" spans="1:6" ht="14.25">
      <c r="A192" s="30" t="s">
        <v>465</v>
      </c>
      <c r="B192" s="30"/>
      <c r="C192" s="35" t="s">
        <v>346</v>
      </c>
      <c r="D192" s="35" t="s">
        <v>346</v>
      </c>
      <c r="E192" s="40" t="s">
        <v>346</v>
      </c>
      <c r="F192" s="145"/>
    </row>
    <row r="193" spans="1:6" ht="14.25">
      <c r="A193" s="30" t="s">
        <v>385</v>
      </c>
      <c r="B193" s="30"/>
      <c r="C193" s="31">
        <v>25</v>
      </c>
      <c r="D193" s="31"/>
      <c r="E193" s="39" t="s">
        <v>3</v>
      </c>
      <c r="F193" s="145" t="s">
        <v>87</v>
      </c>
    </row>
    <row r="194" spans="1:6" ht="14.25">
      <c r="A194" s="30" t="s">
        <v>466</v>
      </c>
      <c r="B194" s="30"/>
      <c r="C194" s="35">
        <v>176</v>
      </c>
      <c r="D194" s="35">
        <v>561</v>
      </c>
      <c r="E194" s="40" t="s">
        <v>5</v>
      </c>
      <c r="F194" s="146" t="s">
        <v>31</v>
      </c>
    </row>
    <row r="195" spans="1:6" ht="14.25">
      <c r="A195" s="30" t="s">
        <v>88</v>
      </c>
      <c r="B195" s="30"/>
      <c r="C195" s="31"/>
      <c r="D195" s="31"/>
      <c r="E195" s="39"/>
      <c r="F195" s="145"/>
    </row>
    <row r="196" spans="1:6" ht="14.25">
      <c r="A196" s="30" t="s">
        <v>89</v>
      </c>
      <c r="B196" s="30"/>
      <c r="C196" s="31"/>
      <c r="D196" s="31"/>
      <c r="E196" s="39"/>
      <c r="F196" s="145"/>
    </row>
    <row r="197" spans="1:6" ht="14.25">
      <c r="A197" s="30" t="s">
        <v>467</v>
      </c>
      <c r="B197" s="30"/>
      <c r="C197" s="35" t="s">
        <v>346</v>
      </c>
      <c r="D197" s="35" t="s">
        <v>346</v>
      </c>
      <c r="E197" s="40" t="s">
        <v>346</v>
      </c>
      <c r="F197" s="145"/>
    </row>
    <row r="198" spans="1:6" ht="14.25">
      <c r="A198" s="30" t="s">
        <v>90</v>
      </c>
      <c r="B198" s="30"/>
      <c r="C198" s="31"/>
      <c r="D198" s="31"/>
      <c r="E198" s="39"/>
      <c r="F198" s="145"/>
    </row>
    <row r="199" spans="1:6" ht="14.25">
      <c r="A199" s="30" t="s">
        <v>468</v>
      </c>
      <c r="B199" s="30"/>
      <c r="C199" s="35">
        <v>22.7</v>
      </c>
      <c r="D199" s="35">
        <v>48.6</v>
      </c>
      <c r="E199" s="40" t="s">
        <v>347</v>
      </c>
      <c r="F199" s="146" t="s">
        <v>31</v>
      </c>
    </row>
    <row r="200" spans="1:6" ht="14.25">
      <c r="A200" s="32" t="s">
        <v>469</v>
      </c>
      <c r="B200" s="32" t="s">
        <v>346</v>
      </c>
      <c r="C200" s="34"/>
      <c r="D200" s="32"/>
      <c r="E200" s="38" t="s">
        <v>346</v>
      </c>
      <c r="F200" s="32" t="s">
        <v>346</v>
      </c>
    </row>
    <row r="201" spans="1:6" ht="14.25">
      <c r="A201" s="32" t="s">
        <v>388</v>
      </c>
      <c r="B201" s="32" t="s">
        <v>346</v>
      </c>
      <c r="C201" s="34"/>
      <c r="D201" s="32"/>
      <c r="E201" s="38" t="s">
        <v>346</v>
      </c>
      <c r="F201" s="32" t="s">
        <v>346</v>
      </c>
    </row>
    <row r="202" spans="1:6" ht="14.25">
      <c r="A202" s="32" t="s">
        <v>390</v>
      </c>
      <c r="B202" s="32" t="s">
        <v>346</v>
      </c>
      <c r="C202" s="34"/>
      <c r="D202" s="32"/>
      <c r="E202" s="38" t="s">
        <v>346</v>
      </c>
      <c r="F202" s="32" t="s">
        <v>346</v>
      </c>
    </row>
    <row r="203" spans="1:6" ht="14.25">
      <c r="A203" s="32" t="s">
        <v>392</v>
      </c>
      <c r="B203" s="32" t="s">
        <v>346</v>
      </c>
      <c r="C203" s="34"/>
      <c r="D203" s="32"/>
      <c r="E203" s="38" t="s">
        <v>346</v>
      </c>
      <c r="F203" s="32" t="s">
        <v>346</v>
      </c>
    </row>
    <row r="204" spans="1:6" ht="14.25">
      <c r="A204" s="32" t="s">
        <v>470</v>
      </c>
      <c r="B204" s="32" t="s">
        <v>346</v>
      </c>
      <c r="C204" s="33">
        <v>145</v>
      </c>
      <c r="D204" s="32"/>
      <c r="E204" s="38" t="s">
        <v>5</v>
      </c>
      <c r="F204" s="145" t="s">
        <v>6</v>
      </c>
    </row>
    <row r="205" spans="1:6" ht="14.25">
      <c r="A205" s="32" t="s">
        <v>396</v>
      </c>
      <c r="B205" s="32" t="s">
        <v>346</v>
      </c>
      <c r="C205" s="34"/>
      <c r="D205" s="32"/>
      <c r="E205" s="38" t="s">
        <v>346</v>
      </c>
      <c r="F205" s="32" t="s">
        <v>346</v>
      </c>
    </row>
    <row r="206" spans="1:6" ht="14.25">
      <c r="A206" s="32" t="s">
        <v>471</v>
      </c>
      <c r="B206" s="32" t="s">
        <v>346</v>
      </c>
      <c r="C206" s="34"/>
      <c r="D206" s="32"/>
      <c r="E206" s="38" t="s">
        <v>346</v>
      </c>
      <c r="F206" s="32" t="s">
        <v>346</v>
      </c>
    </row>
    <row r="207" spans="1:6" ht="14.25">
      <c r="A207" s="32" t="s">
        <v>472</v>
      </c>
      <c r="B207" s="32" t="s">
        <v>346</v>
      </c>
      <c r="C207" s="34"/>
      <c r="D207" s="32"/>
      <c r="E207" s="38" t="s">
        <v>346</v>
      </c>
      <c r="F207" s="32" t="s">
        <v>346</v>
      </c>
    </row>
    <row r="208" spans="1:6" ht="14.25">
      <c r="A208" s="30" t="s">
        <v>473</v>
      </c>
      <c r="B208" s="30" t="s">
        <v>91</v>
      </c>
      <c r="C208" s="35">
        <v>16</v>
      </c>
      <c r="D208" s="35">
        <v>43</v>
      </c>
      <c r="E208" s="40" t="s">
        <v>5</v>
      </c>
      <c r="F208" s="146" t="s">
        <v>58</v>
      </c>
    </row>
    <row r="209" spans="1:6" ht="14.25">
      <c r="A209" s="30" t="s">
        <v>474</v>
      </c>
      <c r="B209" s="30" t="s">
        <v>92</v>
      </c>
      <c r="C209" s="35">
        <v>9</v>
      </c>
      <c r="D209" s="35">
        <v>15</v>
      </c>
      <c r="E209" s="40" t="s">
        <v>5</v>
      </c>
      <c r="F209" s="146" t="s">
        <v>58</v>
      </c>
    </row>
    <row r="210" spans="1:6" ht="14.25">
      <c r="A210" s="32" t="s">
        <v>296</v>
      </c>
      <c r="B210" s="32" t="s">
        <v>93</v>
      </c>
      <c r="C210" s="34"/>
      <c r="D210" s="32"/>
      <c r="E210" s="38" t="s">
        <v>5</v>
      </c>
      <c r="F210" s="32" t="s">
        <v>346</v>
      </c>
    </row>
    <row r="211" spans="1:6" ht="14.25">
      <c r="A211" s="32" t="s">
        <v>297</v>
      </c>
      <c r="B211" s="32" t="s">
        <v>346</v>
      </c>
      <c r="C211" s="34"/>
      <c r="D211" s="32"/>
      <c r="E211" s="38" t="s">
        <v>346</v>
      </c>
      <c r="F211" s="32" t="s">
        <v>346</v>
      </c>
    </row>
    <row r="212" spans="1:6" ht="14.25">
      <c r="A212" s="32" t="s">
        <v>94</v>
      </c>
      <c r="B212" s="32" t="s">
        <v>346</v>
      </c>
      <c r="C212" s="34"/>
      <c r="D212" s="32"/>
      <c r="E212" s="38" t="s">
        <v>346</v>
      </c>
      <c r="F212" s="32" t="s">
        <v>346</v>
      </c>
    </row>
    <row r="213" spans="1:6" ht="14.25">
      <c r="A213" s="32" t="s">
        <v>298</v>
      </c>
      <c r="B213" s="32" t="s">
        <v>346</v>
      </c>
      <c r="C213" s="34"/>
      <c r="D213" s="32"/>
      <c r="E213" s="38" t="s">
        <v>346</v>
      </c>
      <c r="F213" s="32" t="s">
        <v>346</v>
      </c>
    </row>
    <row r="214" spans="1:6" ht="14.25">
      <c r="A214" s="32" t="s">
        <v>95</v>
      </c>
      <c r="B214" s="32" t="s">
        <v>346</v>
      </c>
      <c r="C214" s="34"/>
      <c r="D214" s="32"/>
      <c r="E214" s="38" t="s">
        <v>346</v>
      </c>
      <c r="F214" s="32" t="s">
        <v>346</v>
      </c>
    </row>
    <row r="215" spans="1:6" ht="14.25">
      <c r="A215" s="32" t="s">
        <v>299</v>
      </c>
      <c r="B215" s="32" t="s">
        <v>346</v>
      </c>
      <c r="C215" s="34"/>
      <c r="D215" s="32"/>
      <c r="E215" s="38" t="s">
        <v>346</v>
      </c>
      <c r="F215" s="32" t="s">
        <v>346</v>
      </c>
    </row>
    <row r="216" spans="1:6" ht="14.25">
      <c r="A216" s="32" t="s">
        <v>401</v>
      </c>
      <c r="B216" s="32" t="s">
        <v>346</v>
      </c>
      <c r="C216" s="33">
        <v>25</v>
      </c>
      <c r="D216" s="32"/>
      <c r="E216" s="38" t="s">
        <v>5</v>
      </c>
      <c r="F216" s="145" t="s">
        <v>6</v>
      </c>
    </row>
    <row r="217" spans="1:6" ht="14.25">
      <c r="A217" s="30" t="s">
        <v>300</v>
      </c>
      <c r="B217" s="30" t="s">
        <v>415</v>
      </c>
      <c r="C217" s="35">
        <v>3.54</v>
      </c>
      <c r="D217" s="35">
        <v>8.51</v>
      </c>
      <c r="E217" s="40" t="s">
        <v>5</v>
      </c>
      <c r="F217" s="146" t="s">
        <v>96</v>
      </c>
    </row>
    <row r="218" spans="1:6" ht="14.25">
      <c r="A218" s="30" t="s">
        <v>301</v>
      </c>
      <c r="B218" s="30" t="s">
        <v>416</v>
      </c>
      <c r="C218" s="35">
        <v>1.42</v>
      </c>
      <c r="D218" s="35">
        <v>6.75</v>
      </c>
      <c r="E218" s="40" t="s">
        <v>5</v>
      </c>
      <c r="F218" s="146" t="s">
        <v>96</v>
      </c>
    </row>
    <row r="219" spans="1:6" ht="14.25">
      <c r="A219" s="30" t="s">
        <v>302</v>
      </c>
      <c r="B219" s="30" t="s">
        <v>417</v>
      </c>
      <c r="C219" s="35">
        <v>1.19</v>
      </c>
      <c r="D219" s="35">
        <v>4.77</v>
      </c>
      <c r="E219" s="40" t="s">
        <v>5</v>
      </c>
      <c r="F219" s="146" t="s">
        <v>97</v>
      </c>
    </row>
    <row r="220" spans="1:6" ht="14.25">
      <c r="A220" s="30" t="s">
        <v>303</v>
      </c>
      <c r="B220" s="30"/>
      <c r="C220" s="35" t="s">
        <v>346</v>
      </c>
      <c r="D220" s="35" t="s">
        <v>346</v>
      </c>
      <c r="E220" s="40" t="s">
        <v>346</v>
      </c>
      <c r="F220" s="145"/>
    </row>
    <row r="221" spans="1:6" ht="14.25">
      <c r="A221" s="30" t="s">
        <v>304</v>
      </c>
      <c r="B221" s="30"/>
      <c r="C221" s="35" t="s">
        <v>346</v>
      </c>
      <c r="D221" s="35" t="s">
        <v>346</v>
      </c>
      <c r="E221" s="40" t="s">
        <v>346</v>
      </c>
      <c r="F221" s="145"/>
    </row>
    <row r="222" spans="1:6" ht="14.25">
      <c r="A222" s="30" t="s">
        <v>305</v>
      </c>
      <c r="B222" s="30"/>
      <c r="C222" s="35">
        <v>0.81</v>
      </c>
      <c r="D222" s="35" t="s">
        <v>346</v>
      </c>
      <c r="E222" s="40" t="s">
        <v>5</v>
      </c>
      <c r="F222" s="145" t="s">
        <v>98</v>
      </c>
    </row>
    <row r="223" spans="1:6" ht="14.25">
      <c r="A223" s="30" t="s">
        <v>307</v>
      </c>
      <c r="B223" s="30"/>
      <c r="C223" s="35" t="s">
        <v>346</v>
      </c>
      <c r="D223" s="35" t="s">
        <v>346</v>
      </c>
      <c r="E223" s="40" t="s">
        <v>346</v>
      </c>
      <c r="F223" s="145"/>
    </row>
    <row r="224" spans="1:6" ht="14.25">
      <c r="A224" s="30" t="s">
        <v>308</v>
      </c>
      <c r="B224" s="30"/>
      <c r="C224" s="35" t="s">
        <v>346</v>
      </c>
      <c r="D224" s="35" t="s">
        <v>346</v>
      </c>
      <c r="E224" s="40" t="s">
        <v>346</v>
      </c>
      <c r="F224" s="145"/>
    </row>
    <row r="225" spans="1:6" ht="14.25">
      <c r="A225" s="30" t="s">
        <v>309</v>
      </c>
      <c r="B225" s="30"/>
      <c r="C225" s="35" t="s">
        <v>346</v>
      </c>
      <c r="D225" s="35" t="s">
        <v>346</v>
      </c>
      <c r="E225" s="40" t="s">
        <v>346</v>
      </c>
      <c r="F225" s="145"/>
    </row>
    <row r="226" spans="1:6" ht="14.25">
      <c r="A226" s="30" t="s">
        <v>403</v>
      </c>
      <c r="B226" s="30"/>
      <c r="C226" s="31"/>
      <c r="D226" s="31"/>
      <c r="E226" s="39"/>
      <c r="F226" s="145"/>
    </row>
    <row r="227" spans="1:6" ht="14.25">
      <c r="A227" s="30" t="s">
        <v>310</v>
      </c>
      <c r="B227" s="30"/>
      <c r="C227" s="35">
        <v>204</v>
      </c>
      <c r="D227" s="35">
        <v>1170</v>
      </c>
      <c r="E227" s="40" t="s">
        <v>5</v>
      </c>
      <c r="F227" s="146" t="s">
        <v>31</v>
      </c>
    </row>
    <row r="228" spans="1:6" ht="14.25">
      <c r="A228" s="30" t="s">
        <v>311</v>
      </c>
      <c r="B228" s="30"/>
      <c r="C228" s="35" t="s">
        <v>346</v>
      </c>
      <c r="D228" s="35" t="s">
        <v>346</v>
      </c>
      <c r="E228" s="40" t="s">
        <v>346</v>
      </c>
      <c r="F228" s="145"/>
    </row>
    <row r="229" spans="1:6" ht="14.25">
      <c r="A229" s="30" t="s">
        <v>312</v>
      </c>
      <c r="B229" s="30"/>
      <c r="C229" s="35" t="s">
        <v>346</v>
      </c>
      <c r="D229" s="35">
        <v>48</v>
      </c>
      <c r="E229" s="40" t="s">
        <v>5</v>
      </c>
      <c r="F229" s="145" t="s">
        <v>15</v>
      </c>
    </row>
    <row r="230" spans="1:6" ht="14.25">
      <c r="A230" s="30" t="s">
        <v>405</v>
      </c>
      <c r="B230" s="30"/>
      <c r="C230" s="31"/>
      <c r="D230" s="31"/>
      <c r="E230" s="39"/>
      <c r="F230" s="145"/>
    </row>
    <row r="231" spans="1:6" ht="14.25">
      <c r="A231" s="30" t="s">
        <v>313</v>
      </c>
      <c r="B231" s="30"/>
      <c r="C231" s="35" t="s">
        <v>346</v>
      </c>
      <c r="D231" s="35" t="s">
        <v>346</v>
      </c>
      <c r="E231" s="40" t="s">
        <v>346</v>
      </c>
      <c r="F231" s="145"/>
    </row>
    <row r="232" spans="1:6" ht="19.5" customHeight="1">
      <c r="A232" s="148" t="s">
        <v>659</v>
      </c>
      <c r="B232" s="148" t="s">
        <v>1</v>
      </c>
      <c r="C232" s="149" t="s">
        <v>660</v>
      </c>
      <c r="D232" s="149" t="s">
        <v>661</v>
      </c>
      <c r="E232" s="150" t="s">
        <v>491</v>
      </c>
      <c r="F232" s="150" t="s">
        <v>2</v>
      </c>
    </row>
    <row r="233" spans="1:6" ht="14.25">
      <c r="A233" s="30" t="s">
        <v>314</v>
      </c>
      <c r="B233" s="30"/>
      <c r="C233" s="35" t="s">
        <v>346</v>
      </c>
      <c r="D233" s="35" t="s">
        <v>346</v>
      </c>
      <c r="E233" s="40" t="s">
        <v>346</v>
      </c>
      <c r="F233" s="145"/>
    </row>
    <row r="234" spans="1:6" ht="14.25">
      <c r="A234" s="30" t="s">
        <v>99</v>
      </c>
      <c r="B234" s="30"/>
      <c r="C234" s="35" t="s">
        <v>346</v>
      </c>
      <c r="D234" s="35" t="s">
        <v>346</v>
      </c>
      <c r="E234" s="40" t="s">
        <v>346</v>
      </c>
      <c r="F234" s="145"/>
    </row>
    <row r="235" spans="1:6" ht="14.25">
      <c r="A235" s="30" t="s">
        <v>100</v>
      </c>
      <c r="B235" s="30"/>
      <c r="C235" s="35" t="s">
        <v>346</v>
      </c>
      <c r="D235" s="35" t="s">
        <v>346</v>
      </c>
      <c r="E235" s="40" t="s">
        <v>346</v>
      </c>
      <c r="F235" s="145"/>
    </row>
    <row r="236" spans="1:6" ht="14.25">
      <c r="A236" s="30" t="s">
        <v>101</v>
      </c>
      <c r="B236" s="30"/>
      <c r="C236" s="35" t="s">
        <v>346</v>
      </c>
      <c r="D236" s="35" t="s">
        <v>346</v>
      </c>
      <c r="E236" s="40" t="s">
        <v>346</v>
      </c>
      <c r="F236" s="145"/>
    </row>
    <row r="237" spans="1:6" ht="14.25">
      <c r="A237" s="30" t="s">
        <v>315</v>
      </c>
      <c r="B237" s="30"/>
      <c r="C237" s="35" t="s">
        <v>346</v>
      </c>
      <c r="D237" s="35" t="s">
        <v>346</v>
      </c>
      <c r="E237" s="40" t="s">
        <v>346</v>
      </c>
      <c r="F237" s="145"/>
    </row>
    <row r="238" spans="1:6" ht="14.25">
      <c r="A238" s="30" t="s">
        <v>316</v>
      </c>
      <c r="B238" s="30"/>
      <c r="C238" s="35" t="s">
        <v>346</v>
      </c>
      <c r="D238" s="35" t="s">
        <v>346</v>
      </c>
      <c r="E238" s="40" t="s">
        <v>346</v>
      </c>
      <c r="F238" s="145"/>
    </row>
    <row r="239" spans="1:6" ht="14.25">
      <c r="A239" s="30" t="s">
        <v>317</v>
      </c>
      <c r="B239" s="30"/>
      <c r="C239" s="35">
        <v>195</v>
      </c>
      <c r="D239" s="35">
        <v>1520</v>
      </c>
      <c r="E239" s="40" t="s">
        <v>5</v>
      </c>
      <c r="F239" s="146" t="s">
        <v>31</v>
      </c>
    </row>
    <row r="240" spans="1:6" ht="14.25">
      <c r="A240" s="30" t="s">
        <v>318</v>
      </c>
      <c r="B240" s="30"/>
      <c r="C240" s="35" t="s">
        <v>346</v>
      </c>
      <c r="D240" s="35" t="s">
        <v>346</v>
      </c>
      <c r="E240" s="40" t="s">
        <v>346</v>
      </c>
      <c r="F240" s="145"/>
    </row>
    <row r="241" spans="1:6" ht="14.25">
      <c r="A241" s="30" t="s">
        <v>319</v>
      </c>
      <c r="B241" s="30"/>
      <c r="C241" s="35" t="s">
        <v>346</v>
      </c>
      <c r="D241" s="35" t="s">
        <v>346</v>
      </c>
      <c r="E241" s="40" t="s">
        <v>346</v>
      </c>
      <c r="F241" s="145"/>
    </row>
    <row r="242" spans="1:6" ht="14.25">
      <c r="A242" s="30" t="s">
        <v>320</v>
      </c>
      <c r="B242" s="30"/>
      <c r="C242" s="35" t="s">
        <v>346</v>
      </c>
      <c r="D242" s="35" t="s">
        <v>346</v>
      </c>
      <c r="E242" s="40" t="s">
        <v>346</v>
      </c>
      <c r="F242" s="145"/>
    </row>
    <row r="243" spans="1:6" ht="14.25">
      <c r="A243" s="30" t="s">
        <v>485</v>
      </c>
      <c r="B243" s="30"/>
      <c r="C243" s="31"/>
      <c r="D243" s="31"/>
      <c r="E243" s="39"/>
      <c r="F243" s="145"/>
    </row>
    <row r="244" spans="1:6" ht="14.25">
      <c r="A244" s="30" t="s">
        <v>321</v>
      </c>
      <c r="B244" s="30"/>
      <c r="C244" s="35" t="s">
        <v>346</v>
      </c>
      <c r="D244" s="35" t="s">
        <v>346</v>
      </c>
      <c r="E244" s="40" t="s">
        <v>346</v>
      </c>
      <c r="F244" s="145"/>
    </row>
    <row r="245" spans="1:6" ht="14.25">
      <c r="A245" s="30" t="s">
        <v>322</v>
      </c>
      <c r="B245" s="30"/>
      <c r="C245" s="35"/>
      <c r="D245" s="35"/>
      <c r="E245" s="40"/>
      <c r="F245" s="145"/>
    </row>
    <row r="246" spans="1:6" ht="14.25">
      <c r="A246" s="30" t="s">
        <v>102</v>
      </c>
      <c r="B246" s="30"/>
      <c r="C246" s="31"/>
      <c r="D246" s="31"/>
      <c r="E246" s="39"/>
      <c r="F246" s="145"/>
    </row>
    <row r="247" spans="1:6" ht="14.25">
      <c r="A247" s="30" t="s">
        <v>323</v>
      </c>
      <c r="B247" s="30"/>
      <c r="C247" s="35">
        <v>1</v>
      </c>
      <c r="D247" s="35">
        <v>2.2</v>
      </c>
      <c r="E247" s="40" t="s">
        <v>347</v>
      </c>
      <c r="F247" s="145" t="s">
        <v>103</v>
      </c>
    </row>
    <row r="248" spans="1:6" ht="14.25">
      <c r="A248" s="30" t="s">
        <v>324</v>
      </c>
      <c r="B248" s="30"/>
      <c r="C248" s="35">
        <v>675</v>
      </c>
      <c r="D248" s="35" t="s">
        <v>346</v>
      </c>
      <c r="E248" s="40" t="s">
        <v>5</v>
      </c>
      <c r="F248" s="145" t="s">
        <v>6</v>
      </c>
    </row>
    <row r="249" spans="1:6" ht="14.25">
      <c r="A249" s="30" t="s">
        <v>325</v>
      </c>
      <c r="B249" s="30"/>
      <c r="C249" s="35" t="s">
        <v>346</v>
      </c>
      <c r="D249" s="35" t="s">
        <v>346</v>
      </c>
      <c r="E249" s="40" t="s">
        <v>346</v>
      </c>
      <c r="F249" s="145"/>
    </row>
    <row r="250" spans="1:6" ht="14.25">
      <c r="A250" s="32" t="s">
        <v>326</v>
      </c>
      <c r="B250" s="32" t="s">
        <v>346</v>
      </c>
      <c r="C250" s="34"/>
      <c r="D250" s="32"/>
      <c r="E250" s="38" t="s">
        <v>346</v>
      </c>
      <c r="F250" s="32" t="s">
        <v>346</v>
      </c>
    </row>
    <row r="251" spans="1:6" ht="14.25">
      <c r="A251" s="32" t="s">
        <v>370</v>
      </c>
      <c r="B251" s="32" t="s">
        <v>346</v>
      </c>
      <c r="C251" s="33">
        <v>254</v>
      </c>
      <c r="D251" s="32"/>
      <c r="E251" s="38" t="s">
        <v>5</v>
      </c>
      <c r="F251" s="145" t="s">
        <v>6</v>
      </c>
    </row>
    <row r="252" spans="1:6" ht="14.25">
      <c r="A252" s="32" t="s">
        <v>372</v>
      </c>
      <c r="B252" s="32" t="s">
        <v>346</v>
      </c>
      <c r="C252" s="34"/>
      <c r="D252" s="32"/>
      <c r="E252" s="38" t="s">
        <v>346</v>
      </c>
      <c r="F252" s="32" t="s">
        <v>346</v>
      </c>
    </row>
    <row r="253" spans="1:6" ht="14.25">
      <c r="A253" s="32" t="s">
        <v>327</v>
      </c>
      <c r="B253" s="32" t="s">
        <v>346</v>
      </c>
      <c r="C253" s="34"/>
      <c r="D253" s="32"/>
      <c r="E253" s="38" t="s">
        <v>346</v>
      </c>
      <c r="F253" s="32" t="s">
        <v>346</v>
      </c>
    </row>
    <row r="254" spans="1:6" ht="14.25">
      <c r="A254" s="30" t="s">
        <v>104</v>
      </c>
      <c r="B254" s="30"/>
      <c r="C254" s="31">
        <v>4.9</v>
      </c>
      <c r="D254" s="31">
        <v>28</v>
      </c>
      <c r="E254" s="39" t="s">
        <v>5</v>
      </c>
      <c r="F254" s="146" t="s">
        <v>31</v>
      </c>
    </row>
    <row r="255" spans="1:6" ht="14.25">
      <c r="A255" s="30" t="s">
        <v>105</v>
      </c>
      <c r="B255" s="30"/>
      <c r="C255" s="31">
        <v>3.2</v>
      </c>
      <c r="D255" s="31">
        <v>31</v>
      </c>
      <c r="E255" s="39" t="s">
        <v>5</v>
      </c>
      <c r="F255" s="146" t="s">
        <v>31</v>
      </c>
    </row>
    <row r="256" spans="1:6" ht="14.25">
      <c r="A256" s="30" t="s">
        <v>106</v>
      </c>
      <c r="B256" s="30"/>
      <c r="C256" s="31">
        <v>4.2</v>
      </c>
      <c r="D256" s="31">
        <v>63</v>
      </c>
      <c r="E256" s="39" t="s">
        <v>5</v>
      </c>
      <c r="F256" s="146" t="s">
        <v>31</v>
      </c>
    </row>
    <row r="257" spans="1:6" ht="14.25">
      <c r="A257" s="30" t="s">
        <v>328</v>
      </c>
      <c r="B257" s="30"/>
      <c r="C257" s="35" t="s">
        <v>346</v>
      </c>
      <c r="D257" s="35" t="s">
        <v>346</v>
      </c>
      <c r="E257" s="40" t="s">
        <v>346</v>
      </c>
      <c r="F257" s="145"/>
    </row>
    <row r="258" spans="1:6" ht="14.25">
      <c r="A258" s="30" t="s">
        <v>107</v>
      </c>
      <c r="B258" s="30"/>
      <c r="C258" s="35" t="s">
        <v>346</v>
      </c>
      <c r="D258" s="35" t="s">
        <v>346</v>
      </c>
      <c r="E258" s="40" t="s">
        <v>346</v>
      </c>
      <c r="F258" s="145"/>
    </row>
    <row r="259" spans="1:6" ht="14.25">
      <c r="A259" s="30" t="s">
        <v>376</v>
      </c>
      <c r="B259" s="30"/>
      <c r="C259" s="31">
        <v>1600</v>
      </c>
      <c r="D259" s="31"/>
      <c r="E259" s="39" t="s">
        <v>5</v>
      </c>
      <c r="F259" s="145" t="s">
        <v>108</v>
      </c>
    </row>
    <row r="260" spans="1:6" ht="14.25">
      <c r="A260" s="30" t="s">
        <v>109</v>
      </c>
      <c r="B260" s="30"/>
      <c r="C260" s="31"/>
      <c r="D260" s="31"/>
      <c r="E260" s="39"/>
      <c r="F260" s="145"/>
    </row>
    <row r="261" spans="1:6" ht="14.25">
      <c r="A261" s="30" t="s">
        <v>381</v>
      </c>
      <c r="B261" s="30"/>
      <c r="C261" s="31"/>
      <c r="D261" s="31"/>
      <c r="E261" s="39"/>
      <c r="F261" s="145"/>
    </row>
    <row r="262" spans="1:6" ht="14.25">
      <c r="A262" s="30" t="s">
        <v>383</v>
      </c>
      <c r="B262" s="30"/>
      <c r="C262" s="35" t="s">
        <v>346</v>
      </c>
      <c r="D262" s="35" t="s">
        <v>346</v>
      </c>
      <c r="E262" s="40" t="s">
        <v>346</v>
      </c>
      <c r="F262" s="145"/>
    </row>
    <row r="263" spans="1:6" ht="14.25">
      <c r="A263" s="30" t="s">
        <v>329</v>
      </c>
      <c r="B263" s="30"/>
      <c r="C263" s="35" t="s">
        <v>346</v>
      </c>
      <c r="D263" s="35" t="s">
        <v>346</v>
      </c>
      <c r="E263" s="40" t="s">
        <v>346</v>
      </c>
      <c r="F263" s="145"/>
    </row>
    <row r="264" spans="1:6" ht="14.25">
      <c r="A264" s="30" t="s">
        <v>330</v>
      </c>
      <c r="B264" s="30"/>
      <c r="C264" s="35" t="s">
        <v>346</v>
      </c>
      <c r="D264" s="35" t="s">
        <v>346</v>
      </c>
      <c r="E264" s="40" t="s">
        <v>346</v>
      </c>
      <c r="F264" s="145"/>
    </row>
    <row r="265" spans="1:6" ht="14.25">
      <c r="A265" s="30" t="s">
        <v>331</v>
      </c>
      <c r="B265" s="30"/>
      <c r="C265" s="35" t="s">
        <v>346</v>
      </c>
      <c r="D265" s="35" t="s">
        <v>346</v>
      </c>
      <c r="E265" s="40" t="s">
        <v>346</v>
      </c>
      <c r="F265" s="145"/>
    </row>
    <row r="266" spans="1:6" ht="14.25">
      <c r="A266" s="30" t="s">
        <v>332</v>
      </c>
      <c r="B266" s="30"/>
      <c r="C266" s="35" t="s">
        <v>346</v>
      </c>
      <c r="D266" s="35" t="s">
        <v>346</v>
      </c>
      <c r="E266" s="40" t="s">
        <v>346</v>
      </c>
      <c r="F266" s="145"/>
    </row>
    <row r="267" spans="1:6" ht="14.25">
      <c r="A267" s="30" t="s">
        <v>635</v>
      </c>
      <c r="B267" s="30"/>
      <c r="C267" s="35" t="s">
        <v>346</v>
      </c>
      <c r="D267" s="35" t="s">
        <v>346</v>
      </c>
      <c r="E267" s="40" t="s">
        <v>346</v>
      </c>
      <c r="F267" s="145"/>
    </row>
    <row r="268" spans="1:6" ht="14.25">
      <c r="A268" s="30" t="s">
        <v>389</v>
      </c>
      <c r="B268" s="30"/>
      <c r="C268" s="31">
        <v>890</v>
      </c>
      <c r="D268" s="31"/>
      <c r="E268" s="39"/>
      <c r="F268" s="145" t="s">
        <v>4</v>
      </c>
    </row>
    <row r="269" spans="1:6" ht="14.25">
      <c r="A269" s="30" t="s">
        <v>110</v>
      </c>
      <c r="B269" s="30"/>
      <c r="C269" s="31">
        <v>5.3</v>
      </c>
      <c r="D269" s="31">
        <v>570</v>
      </c>
      <c r="E269" s="39" t="s">
        <v>5</v>
      </c>
      <c r="F269" s="146" t="s">
        <v>29</v>
      </c>
    </row>
    <row r="270" spans="1:6" ht="14.25">
      <c r="A270" s="30" t="s">
        <v>393</v>
      </c>
      <c r="B270" s="30"/>
      <c r="C270" s="31"/>
      <c r="D270" s="31"/>
      <c r="E270" s="39"/>
      <c r="F270" s="145"/>
    </row>
    <row r="271" spans="1:6" ht="14.25">
      <c r="A271" s="30" t="s">
        <v>111</v>
      </c>
      <c r="B271" s="30"/>
      <c r="C271" s="31"/>
      <c r="D271" s="31"/>
      <c r="E271" s="39"/>
      <c r="F271" s="145"/>
    </row>
    <row r="272" spans="1:6" ht="14.25">
      <c r="A272" s="30" t="s">
        <v>112</v>
      </c>
      <c r="B272" s="30"/>
      <c r="C272" s="31">
        <v>1600</v>
      </c>
      <c r="D272" s="31">
        <v>23000</v>
      </c>
      <c r="E272" s="39" t="s">
        <v>5</v>
      </c>
      <c r="F272" s="146" t="s">
        <v>31</v>
      </c>
    </row>
    <row r="273" spans="1:6" ht="14.25">
      <c r="A273" s="30" t="s">
        <v>113</v>
      </c>
      <c r="B273" s="30" t="s">
        <v>306</v>
      </c>
      <c r="C273" s="31">
        <v>60</v>
      </c>
      <c r="D273" s="31">
        <v>680</v>
      </c>
      <c r="E273" s="39" t="s">
        <v>5</v>
      </c>
      <c r="F273" s="146" t="s">
        <v>31</v>
      </c>
    </row>
    <row r="274" spans="1:6" ht="14.25">
      <c r="A274" s="30" t="s">
        <v>394</v>
      </c>
      <c r="B274" s="30"/>
      <c r="C274" s="31"/>
      <c r="D274" s="31"/>
      <c r="E274" s="39"/>
      <c r="F274" s="145"/>
    </row>
    <row r="275" spans="1:6" ht="14.25">
      <c r="A275" s="30" t="s">
        <v>333</v>
      </c>
      <c r="B275" s="30"/>
      <c r="C275" s="35">
        <v>0.1</v>
      </c>
      <c r="D275" s="35">
        <v>32</v>
      </c>
      <c r="E275" s="40" t="s">
        <v>5</v>
      </c>
      <c r="F275" s="146" t="s">
        <v>103</v>
      </c>
    </row>
    <row r="276" spans="1:6" ht="14.25">
      <c r="A276" s="30" t="s">
        <v>397</v>
      </c>
      <c r="B276" s="30"/>
      <c r="C276" s="31"/>
      <c r="D276" s="31"/>
      <c r="E276" s="39"/>
      <c r="F276" s="145"/>
    </row>
    <row r="277" spans="1:6" ht="14.25">
      <c r="A277" s="30" t="s">
        <v>398</v>
      </c>
      <c r="B277" s="30"/>
      <c r="C277" s="31"/>
      <c r="D277" s="31"/>
      <c r="E277" s="39"/>
      <c r="F277" s="145"/>
    </row>
    <row r="278" spans="1:6" ht="19.5" customHeight="1">
      <c r="A278" s="148" t="s">
        <v>659</v>
      </c>
      <c r="B278" s="148" t="s">
        <v>1</v>
      </c>
      <c r="C278" s="149" t="s">
        <v>660</v>
      </c>
      <c r="D278" s="149" t="s">
        <v>661</v>
      </c>
      <c r="E278" s="150" t="s">
        <v>491</v>
      </c>
      <c r="F278" s="150" t="s">
        <v>2</v>
      </c>
    </row>
    <row r="279" spans="1:6" ht="14.25">
      <c r="A279" s="30" t="s">
        <v>334</v>
      </c>
      <c r="B279" s="30"/>
      <c r="C279" s="35" t="s">
        <v>346</v>
      </c>
      <c r="D279" s="35" t="s">
        <v>346</v>
      </c>
      <c r="E279" s="40" t="s">
        <v>346</v>
      </c>
      <c r="F279" s="145"/>
    </row>
    <row r="280" spans="1:6" ht="14.25">
      <c r="A280" s="30" t="s">
        <v>335</v>
      </c>
      <c r="B280" s="30"/>
      <c r="C280" s="35" t="s">
        <v>346</v>
      </c>
      <c r="D280" s="35" t="s">
        <v>346</v>
      </c>
      <c r="E280" s="40" t="s">
        <v>346</v>
      </c>
      <c r="F280" s="145"/>
    </row>
    <row r="281" spans="1:6" ht="14.25">
      <c r="A281" s="30" t="s">
        <v>336</v>
      </c>
      <c r="B281" s="30"/>
      <c r="C281" s="35" t="s">
        <v>346</v>
      </c>
      <c r="D281" s="35" t="s">
        <v>346</v>
      </c>
      <c r="E281" s="40" t="s">
        <v>346</v>
      </c>
      <c r="F281" s="145"/>
    </row>
    <row r="282" spans="1:6" ht="14.25">
      <c r="A282" s="30" t="s">
        <v>399</v>
      </c>
      <c r="B282" s="30"/>
      <c r="C282" s="31"/>
      <c r="D282" s="31"/>
      <c r="E282" s="39"/>
      <c r="F282" s="145"/>
    </row>
    <row r="283" spans="1:6" ht="14.25">
      <c r="A283" s="30" t="s">
        <v>114</v>
      </c>
      <c r="B283" s="30"/>
      <c r="C283" s="31"/>
      <c r="D283" s="31"/>
      <c r="E283" s="39"/>
      <c r="F283" s="145"/>
    </row>
    <row r="284" spans="1:6" ht="14.25">
      <c r="A284" s="30" t="s">
        <v>115</v>
      </c>
      <c r="B284" s="30"/>
      <c r="C284" s="31"/>
      <c r="D284" s="31"/>
      <c r="E284" s="39"/>
      <c r="F284" s="145"/>
    </row>
    <row r="285" spans="1:6" ht="14.25">
      <c r="A285" s="30" t="s">
        <v>337</v>
      </c>
      <c r="B285" s="30"/>
      <c r="C285" s="35" t="s">
        <v>346</v>
      </c>
      <c r="D285" s="35" t="s">
        <v>346</v>
      </c>
      <c r="E285" s="40" t="s">
        <v>346</v>
      </c>
      <c r="F285" s="145"/>
    </row>
    <row r="286" spans="1:6" ht="14.25">
      <c r="A286" s="30" t="s">
        <v>338</v>
      </c>
      <c r="B286" s="30"/>
      <c r="C286" s="35" t="s">
        <v>346</v>
      </c>
      <c r="D286" s="35" t="s">
        <v>346</v>
      </c>
      <c r="E286" s="40" t="s">
        <v>346</v>
      </c>
      <c r="F286" s="145"/>
    </row>
    <row r="287" spans="1:6" ht="14.25">
      <c r="A287" s="30" t="s">
        <v>116</v>
      </c>
      <c r="B287" s="30"/>
      <c r="C287" s="35" t="s">
        <v>346</v>
      </c>
      <c r="D287" s="35" t="s">
        <v>346</v>
      </c>
      <c r="E287" s="40" t="s">
        <v>346</v>
      </c>
      <c r="F287" s="145"/>
    </row>
    <row r="288" spans="1:6" ht="14.25">
      <c r="A288" s="30" t="s">
        <v>339</v>
      </c>
      <c r="B288" s="30"/>
      <c r="C288" s="35" t="s">
        <v>346</v>
      </c>
      <c r="D288" s="35" t="s">
        <v>346</v>
      </c>
      <c r="E288" s="40" t="s">
        <v>346</v>
      </c>
      <c r="F288" s="145"/>
    </row>
    <row r="289" spans="1:6" ht="14.25">
      <c r="A289" s="30" t="s">
        <v>340</v>
      </c>
      <c r="B289" s="30"/>
      <c r="C289" s="35" t="s">
        <v>346</v>
      </c>
      <c r="D289" s="35" t="s">
        <v>346</v>
      </c>
      <c r="E289" s="40" t="s">
        <v>346</v>
      </c>
      <c r="F289" s="145"/>
    </row>
    <row r="290" spans="1:6" ht="14.25">
      <c r="A290" s="32" t="s">
        <v>404</v>
      </c>
      <c r="B290" s="32" t="s">
        <v>346</v>
      </c>
      <c r="C290" s="33">
        <v>202</v>
      </c>
      <c r="D290" s="32"/>
      <c r="E290" s="38" t="s">
        <v>5</v>
      </c>
      <c r="F290" s="145" t="s">
        <v>6</v>
      </c>
    </row>
    <row r="291" spans="1:6" ht="14.25">
      <c r="A291" s="30" t="s">
        <v>642</v>
      </c>
      <c r="B291" s="30"/>
      <c r="C291" s="31">
        <v>25</v>
      </c>
      <c r="D291" s="31"/>
      <c r="E291" s="39" t="s">
        <v>3</v>
      </c>
      <c r="F291" s="145" t="s">
        <v>4</v>
      </c>
    </row>
    <row r="292" spans="1:6" ht="14.25">
      <c r="A292" s="30" t="s">
        <v>341</v>
      </c>
      <c r="B292" s="30"/>
      <c r="C292" s="35" t="s">
        <v>346</v>
      </c>
      <c r="D292" s="35" t="s">
        <v>346</v>
      </c>
      <c r="E292" s="40" t="s">
        <v>346</v>
      </c>
      <c r="F292" s="145"/>
    </row>
    <row r="293" spans="1:6" ht="14.25">
      <c r="A293" s="30" t="s">
        <v>342</v>
      </c>
      <c r="B293" s="30"/>
      <c r="C293" s="35" t="s">
        <v>346</v>
      </c>
      <c r="D293" s="35" t="s">
        <v>346</v>
      </c>
      <c r="E293" s="40" t="s">
        <v>346</v>
      </c>
      <c r="F293" s="145"/>
    </row>
    <row r="294" spans="1:6" ht="14.25">
      <c r="A294" s="30" t="s">
        <v>343</v>
      </c>
      <c r="B294" s="30"/>
      <c r="C294" s="35">
        <v>121</v>
      </c>
      <c r="D294" s="35">
        <v>459</v>
      </c>
      <c r="E294" s="40" t="s">
        <v>347</v>
      </c>
      <c r="F294" s="146" t="s">
        <v>31</v>
      </c>
    </row>
    <row r="295" spans="1:256" ht="13.5" customHeight="1">
      <c r="A295" s="277"/>
      <c r="B295" s="277"/>
      <c r="C295" s="277"/>
      <c r="D295" s="277"/>
      <c r="E295" s="277"/>
      <c r="F295" s="277"/>
      <c r="G295" s="277"/>
      <c r="H295" s="277"/>
      <c r="I295" s="277"/>
      <c r="J295" s="277"/>
      <c r="K295" s="277"/>
      <c r="L295" s="277"/>
      <c r="M295" s="277"/>
      <c r="N295" s="277"/>
      <c r="O295" s="277"/>
      <c r="P295" s="277"/>
      <c r="Q295" s="277"/>
      <c r="R295" s="277"/>
      <c r="S295" s="277"/>
      <c r="T295" s="277"/>
      <c r="U295" s="277"/>
      <c r="V295" s="277"/>
      <c r="W295" s="277"/>
      <c r="X295" s="277"/>
      <c r="Y295" s="277"/>
      <c r="Z295" s="277"/>
      <c r="AA295" s="277"/>
      <c r="AB295" s="277"/>
      <c r="AC295" s="277"/>
      <c r="AD295" s="277"/>
      <c r="AE295" s="277"/>
      <c r="AF295" s="277"/>
      <c r="AG295" s="277"/>
      <c r="AH295" s="277"/>
      <c r="AI295" s="277"/>
      <c r="AJ295" s="277"/>
      <c r="AK295" s="277"/>
      <c r="AL295" s="277"/>
      <c r="AM295" s="277"/>
      <c r="AN295" s="277"/>
      <c r="AO295" s="277"/>
      <c r="AP295" s="277"/>
      <c r="AQ295" s="277"/>
      <c r="AR295" s="277"/>
      <c r="AS295" s="277"/>
      <c r="AT295" s="277"/>
      <c r="AU295" s="277"/>
      <c r="AV295" s="277"/>
      <c r="AW295" s="277"/>
      <c r="AX295" s="277"/>
      <c r="AY295" s="277"/>
      <c r="AZ295" s="277"/>
      <c r="BA295" s="277"/>
      <c r="BB295" s="277"/>
      <c r="BC295" s="277"/>
      <c r="BD295" s="277"/>
      <c r="BE295" s="277"/>
      <c r="BF295" s="277"/>
      <c r="BG295" s="277"/>
      <c r="BH295" s="277"/>
      <c r="BI295" s="277"/>
      <c r="BJ295" s="277"/>
      <c r="BK295" s="277"/>
      <c r="BL295" s="277"/>
      <c r="BM295" s="277"/>
      <c r="BN295" s="277"/>
      <c r="BO295" s="277"/>
      <c r="BP295" s="277"/>
      <c r="BQ295" s="277"/>
      <c r="BR295" s="277"/>
      <c r="BS295" s="277"/>
      <c r="BT295" s="277"/>
      <c r="BU295" s="277"/>
      <c r="BV295" s="277"/>
      <c r="BW295" s="277"/>
      <c r="BX295" s="277"/>
      <c r="BY295" s="277"/>
      <c r="BZ295" s="277"/>
      <c r="CA295" s="277"/>
      <c r="CB295" s="277"/>
      <c r="CC295" s="277"/>
      <c r="CD295" s="277"/>
      <c r="CE295" s="277"/>
      <c r="CF295" s="277"/>
      <c r="CG295" s="277"/>
      <c r="CH295" s="277"/>
      <c r="CI295" s="277"/>
      <c r="CJ295" s="277"/>
      <c r="CK295" s="277"/>
      <c r="CL295" s="277"/>
      <c r="CM295" s="277"/>
      <c r="CN295" s="277"/>
      <c r="CO295" s="277"/>
      <c r="CP295" s="277"/>
      <c r="CQ295" s="277"/>
      <c r="CR295" s="277"/>
      <c r="CS295" s="277"/>
      <c r="CT295" s="277"/>
      <c r="CU295" s="277"/>
      <c r="CV295" s="277"/>
      <c r="CW295" s="277"/>
      <c r="CX295" s="277"/>
      <c r="CY295" s="277"/>
      <c r="CZ295" s="277"/>
      <c r="DA295" s="277"/>
      <c r="DB295" s="277"/>
      <c r="DC295" s="277"/>
      <c r="DD295" s="277"/>
      <c r="DE295" s="277"/>
      <c r="DF295" s="277"/>
      <c r="DG295" s="277"/>
      <c r="DH295" s="277"/>
      <c r="DI295" s="277"/>
      <c r="DJ295" s="277"/>
      <c r="DK295" s="277"/>
      <c r="DL295" s="277"/>
      <c r="DM295" s="277"/>
      <c r="DN295" s="277"/>
      <c r="DO295" s="277"/>
      <c r="DP295" s="277"/>
      <c r="DQ295" s="277"/>
      <c r="DR295" s="277"/>
      <c r="DS295" s="277"/>
      <c r="DT295" s="277"/>
      <c r="DU295" s="277"/>
      <c r="DV295" s="277"/>
      <c r="DW295" s="277"/>
      <c r="DX295" s="277"/>
      <c r="DY295" s="277"/>
      <c r="DZ295" s="277"/>
      <c r="EA295" s="277"/>
      <c r="EB295" s="277"/>
      <c r="EC295" s="277"/>
      <c r="ED295" s="277"/>
      <c r="EE295" s="277"/>
      <c r="EF295" s="277"/>
      <c r="EG295" s="277"/>
      <c r="EH295" s="277"/>
      <c r="EI295" s="277"/>
      <c r="EJ295" s="277"/>
      <c r="EK295" s="277"/>
      <c r="EL295" s="277"/>
      <c r="EM295" s="277"/>
      <c r="EN295" s="277"/>
      <c r="EO295" s="277"/>
      <c r="EP295" s="277"/>
      <c r="EQ295" s="277"/>
      <c r="ER295" s="277"/>
      <c r="ES295" s="277"/>
      <c r="ET295" s="277"/>
      <c r="EU295" s="277"/>
      <c r="EV295" s="277"/>
      <c r="EW295" s="277"/>
      <c r="EX295" s="277"/>
      <c r="EY295" s="277"/>
      <c r="EZ295" s="277"/>
      <c r="FA295" s="277"/>
      <c r="FB295" s="277"/>
      <c r="FC295" s="277"/>
      <c r="FD295" s="277"/>
      <c r="FE295" s="277"/>
      <c r="FF295" s="277"/>
      <c r="FG295" s="277"/>
      <c r="FH295" s="277"/>
      <c r="FI295" s="277"/>
      <c r="FJ295" s="277"/>
      <c r="FK295" s="277"/>
      <c r="FL295" s="277"/>
      <c r="FM295" s="277"/>
      <c r="FN295" s="277"/>
      <c r="FO295" s="277"/>
      <c r="FP295" s="277"/>
      <c r="FQ295" s="277"/>
      <c r="FR295" s="277"/>
      <c r="FS295" s="277"/>
      <c r="FT295" s="277"/>
      <c r="FU295" s="277"/>
      <c r="FV295" s="277"/>
      <c r="FW295" s="277"/>
      <c r="FX295" s="277"/>
      <c r="FY295" s="277"/>
      <c r="FZ295" s="277"/>
      <c r="GA295" s="277"/>
      <c r="GB295" s="277"/>
      <c r="GC295" s="277"/>
      <c r="GD295" s="277"/>
      <c r="GE295" s="277"/>
      <c r="GF295" s="277"/>
      <c r="GG295" s="277"/>
      <c r="GH295" s="277"/>
      <c r="GI295" s="277"/>
      <c r="GJ295" s="277"/>
      <c r="GK295" s="277"/>
      <c r="GL295" s="277"/>
      <c r="GM295" s="277"/>
      <c r="GN295" s="277"/>
      <c r="GO295" s="277"/>
      <c r="GP295" s="277"/>
      <c r="GQ295" s="277"/>
      <c r="GR295" s="277"/>
      <c r="GS295" s="277"/>
      <c r="GT295" s="277"/>
      <c r="GU295" s="277"/>
      <c r="GV295" s="277"/>
      <c r="GW295" s="277"/>
      <c r="GX295" s="277"/>
      <c r="GY295" s="277"/>
      <c r="GZ295" s="277"/>
      <c r="HA295" s="277"/>
      <c r="HB295" s="277"/>
      <c r="HC295" s="277"/>
      <c r="HD295" s="277"/>
      <c r="HE295" s="277"/>
      <c r="HF295" s="277"/>
      <c r="HG295" s="277"/>
      <c r="HH295" s="277"/>
      <c r="HI295" s="277"/>
      <c r="HJ295" s="277"/>
      <c r="HK295" s="277"/>
      <c r="HL295" s="277"/>
      <c r="HM295" s="277"/>
      <c r="HN295" s="277"/>
      <c r="HO295" s="277"/>
      <c r="HP295" s="277"/>
      <c r="HQ295" s="277"/>
      <c r="HR295" s="277"/>
      <c r="HS295" s="277"/>
      <c r="HT295" s="277"/>
      <c r="HU295" s="277"/>
      <c r="HV295" s="277"/>
      <c r="HW295" s="277"/>
      <c r="HX295" s="277"/>
      <c r="HY295" s="277"/>
      <c r="HZ295" s="277"/>
      <c r="IA295" s="277"/>
      <c r="IB295" s="277"/>
      <c r="IC295" s="277"/>
      <c r="ID295" s="277"/>
      <c r="IE295" s="277"/>
      <c r="IF295" s="277"/>
      <c r="IG295" s="277"/>
      <c r="IH295" s="277"/>
      <c r="II295" s="277"/>
      <c r="IJ295" s="277"/>
      <c r="IK295" s="277"/>
      <c r="IL295" s="277"/>
      <c r="IM295" s="277"/>
      <c r="IN295" s="277"/>
      <c r="IO295" s="277"/>
      <c r="IP295" s="277"/>
      <c r="IQ295" s="277"/>
      <c r="IR295" s="277"/>
      <c r="IS295" s="277"/>
      <c r="IT295" s="277"/>
      <c r="IU295" s="277"/>
      <c r="IV295" s="277"/>
    </row>
    <row r="296" spans="1:8" s="53" customFormat="1" ht="15">
      <c r="A296" s="279" t="s">
        <v>222</v>
      </c>
      <c r="B296" s="279"/>
      <c r="C296" s="279"/>
      <c r="D296" s="279"/>
      <c r="E296" s="279"/>
      <c r="F296" s="279"/>
      <c r="G296" s="52"/>
      <c r="H296" s="52"/>
    </row>
    <row r="297" spans="1:8" s="154" customFormat="1" ht="15">
      <c r="A297" s="276" t="s">
        <v>235</v>
      </c>
      <c r="B297" s="276"/>
      <c r="C297" s="276"/>
      <c r="D297" s="276"/>
      <c r="E297" s="276"/>
      <c r="F297" s="276"/>
      <c r="G297" s="153"/>
      <c r="H297" s="153"/>
    </row>
    <row r="298" spans="1:8" s="154" customFormat="1" ht="15">
      <c r="A298" s="276" t="s">
        <v>489</v>
      </c>
      <c r="B298" s="276"/>
      <c r="C298" s="276"/>
      <c r="D298" s="276"/>
      <c r="E298" s="276"/>
      <c r="F298" s="276"/>
      <c r="G298" s="153"/>
      <c r="H298" s="153"/>
    </row>
    <row r="299" spans="1:8" s="154" customFormat="1" ht="27.75" customHeight="1">
      <c r="A299" s="276" t="s">
        <v>236</v>
      </c>
      <c r="B299" s="276"/>
      <c r="C299" s="276"/>
      <c r="D299" s="276"/>
      <c r="E299" s="276"/>
      <c r="F299" s="276"/>
      <c r="G299" s="153"/>
      <c r="H299" s="153"/>
    </row>
    <row r="300" spans="1:8" s="156" customFormat="1" ht="14.25">
      <c r="A300" s="278"/>
      <c r="B300" s="278"/>
      <c r="C300" s="278"/>
      <c r="D300" s="278"/>
      <c r="E300" s="278"/>
      <c r="F300" s="278"/>
      <c r="G300" s="155"/>
      <c r="H300" s="155"/>
    </row>
    <row r="301" spans="1:8" ht="14.25">
      <c r="A301" s="151"/>
      <c r="B301" s="151"/>
      <c r="C301" s="151"/>
      <c r="D301" s="151"/>
      <c r="E301" s="152"/>
      <c r="F301" s="151"/>
      <c r="G301" s="151"/>
      <c r="H301" s="151"/>
    </row>
    <row r="302" spans="1:8" ht="14.25">
      <c r="A302" s="151"/>
      <c r="B302" s="151"/>
      <c r="C302" s="151"/>
      <c r="D302" s="151"/>
      <c r="E302" s="152"/>
      <c r="F302" s="151"/>
      <c r="G302" s="151"/>
      <c r="H302" s="151"/>
    </row>
  </sheetData>
  <mergeCells count="50">
    <mergeCell ref="IM295:IR295"/>
    <mergeCell ref="IS295:IV295"/>
    <mergeCell ref="HO295:HT295"/>
    <mergeCell ref="HU295:HZ295"/>
    <mergeCell ref="IA295:IF295"/>
    <mergeCell ref="IG295:IL295"/>
    <mergeCell ref="GQ295:GV295"/>
    <mergeCell ref="GW295:HB295"/>
    <mergeCell ref="HC295:HH295"/>
    <mergeCell ref="HI295:HN295"/>
    <mergeCell ref="FS295:FX295"/>
    <mergeCell ref="FY295:GD295"/>
    <mergeCell ref="GE295:GJ295"/>
    <mergeCell ref="GK295:GP295"/>
    <mergeCell ref="EU295:EZ295"/>
    <mergeCell ref="FA295:FF295"/>
    <mergeCell ref="FG295:FL295"/>
    <mergeCell ref="FM295:FR295"/>
    <mergeCell ref="DW295:EB295"/>
    <mergeCell ref="EC295:EH295"/>
    <mergeCell ref="EI295:EN295"/>
    <mergeCell ref="EO295:ET295"/>
    <mergeCell ref="CY295:DD295"/>
    <mergeCell ref="DE295:DJ295"/>
    <mergeCell ref="DK295:DP295"/>
    <mergeCell ref="DQ295:DV295"/>
    <mergeCell ref="CA295:CF295"/>
    <mergeCell ref="CG295:CL295"/>
    <mergeCell ref="CM295:CR295"/>
    <mergeCell ref="CS295:CX295"/>
    <mergeCell ref="BC295:BH295"/>
    <mergeCell ref="BI295:BN295"/>
    <mergeCell ref="BO295:BT295"/>
    <mergeCell ref="BU295:BZ295"/>
    <mergeCell ref="AE295:AJ295"/>
    <mergeCell ref="AK295:AP295"/>
    <mergeCell ref="AQ295:AV295"/>
    <mergeCell ref="AW295:BB295"/>
    <mergeCell ref="G295:L295"/>
    <mergeCell ref="M295:R295"/>
    <mergeCell ref="S295:X295"/>
    <mergeCell ref="Y295:AD295"/>
    <mergeCell ref="A298:F298"/>
    <mergeCell ref="A299:F299"/>
    <mergeCell ref="A300:F300"/>
    <mergeCell ref="A296:F296"/>
    <mergeCell ref="A1:F1"/>
    <mergeCell ref="A2:F2"/>
    <mergeCell ref="A297:F297"/>
    <mergeCell ref="A295:F295"/>
  </mergeCells>
  <printOptions horizontalCentered="1"/>
  <pageMargins left="0.75" right="0.75" top="1" bottom="1" header="0.5" footer="0.5"/>
  <pageSetup fitToHeight="4" fitToWidth="1" horizontalDpi="600" verticalDpi="600" orientation="portrait" scale="53" r:id="rId1"/>
  <headerFooter alignWithMargins="0">
    <oddHeader>&amp;L&amp;13Table 2 - Page &amp;P of &amp;N</oddHeader>
  </headerFooter>
  <rowBreaks count="3" manualBreakCount="3">
    <brk id="91" max="255" man="1"/>
    <brk id="181" max="255" man="1"/>
    <brk id="269" max="255" man="1"/>
  </rowBreaks>
</worksheet>
</file>

<file path=xl/worksheets/sheet4.xml><?xml version="1.0" encoding="utf-8"?>
<worksheet xmlns="http://schemas.openxmlformats.org/spreadsheetml/2006/main" xmlns:r="http://schemas.openxmlformats.org/officeDocument/2006/relationships">
  <sheetPr codeName="Sheet4">
    <tabColor indexed="31"/>
  </sheetPr>
  <dimension ref="A1:T77"/>
  <sheetViews>
    <sheetView view="pageBreakPreview" zoomScale="75" zoomScaleSheetLayoutView="75" workbookViewId="0" topLeftCell="A1">
      <pane ySplit="5" topLeftCell="BM48" activePane="bottomLeft" state="frozen"/>
      <selection pane="topLeft" activeCell="B177" sqref="B177"/>
      <selection pane="bottomLeft" activeCell="A56" sqref="A56:IV58"/>
    </sheetView>
  </sheetViews>
  <sheetFormatPr defaultColWidth="9.140625" defaultRowHeight="12.75"/>
  <cols>
    <col min="1" max="1" width="23.28125" style="26" customWidth="1"/>
    <col min="2" max="2" width="6.8515625" style="25" customWidth="1"/>
    <col min="3" max="5" width="8.140625" style="28" customWidth="1"/>
    <col min="6" max="6" width="10.00390625" style="28" bestFit="1" customWidth="1"/>
    <col min="7" max="7" width="25.8515625" style="26" customWidth="1"/>
    <col min="8" max="8" width="55.7109375" style="27" customWidth="1"/>
  </cols>
  <sheetData>
    <row r="1" spans="1:8" ht="18">
      <c r="A1" s="288" t="s">
        <v>655</v>
      </c>
      <c r="B1" s="288"/>
      <c r="C1" s="288"/>
      <c r="D1" s="288"/>
      <c r="E1" s="288"/>
      <c r="F1" s="288"/>
      <c r="G1" s="288"/>
      <c r="H1" s="288"/>
    </row>
    <row r="2" spans="1:8" ht="21" customHeight="1">
      <c r="A2" s="284" t="s">
        <v>675</v>
      </c>
      <c r="B2" s="284"/>
      <c r="C2" s="284"/>
      <c r="D2" s="284"/>
      <c r="E2" s="284"/>
      <c r="F2" s="284"/>
      <c r="G2" s="284"/>
      <c r="H2" s="284"/>
    </row>
    <row r="3" spans="1:20" s="2" customFormat="1" ht="8.25" customHeight="1" thickBot="1">
      <c r="A3" s="48"/>
      <c r="B3" s="1"/>
      <c r="C3" s="1"/>
      <c r="D3" s="47"/>
      <c r="E3" s="47"/>
      <c r="F3" s="1"/>
      <c r="G3" s="1"/>
      <c r="H3" s="1"/>
      <c r="I3" s="1"/>
      <c r="J3" s="1"/>
      <c r="K3" s="1"/>
      <c r="L3" s="1"/>
      <c r="M3" s="48"/>
      <c r="N3" s="48"/>
      <c r="O3" s="48"/>
      <c r="P3" s="48"/>
      <c r="Q3" s="48"/>
      <c r="R3" s="48"/>
      <c r="S3" s="1"/>
      <c r="T3" s="49"/>
    </row>
    <row r="4" spans="1:8" ht="15.75" thickTop="1">
      <c r="A4" s="286" t="s">
        <v>659</v>
      </c>
      <c r="B4" s="286" t="s">
        <v>498</v>
      </c>
      <c r="C4" s="285" t="s">
        <v>284</v>
      </c>
      <c r="D4" s="285"/>
      <c r="E4" s="285" t="s">
        <v>285</v>
      </c>
      <c r="F4" s="285"/>
      <c r="G4" s="289" t="s">
        <v>2</v>
      </c>
      <c r="H4" s="289" t="s">
        <v>408</v>
      </c>
    </row>
    <row r="5" spans="1:8" ht="15">
      <c r="A5" s="287"/>
      <c r="B5" s="287"/>
      <c r="C5" s="160" t="s">
        <v>286</v>
      </c>
      <c r="D5" s="160" t="s">
        <v>287</v>
      </c>
      <c r="E5" s="160" t="s">
        <v>286</v>
      </c>
      <c r="F5" s="160" t="s">
        <v>344</v>
      </c>
      <c r="G5" s="290"/>
      <c r="H5" s="290"/>
    </row>
    <row r="6" spans="1:8" ht="28.5">
      <c r="A6" s="43" t="s">
        <v>288</v>
      </c>
      <c r="B6" s="43" t="s">
        <v>5</v>
      </c>
      <c r="C6" s="43">
        <v>205000</v>
      </c>
      <c r="D6" s="43">
        <v>563500</v>
      </c>
      <c r="E6" s="43">
        <v>34000</v>
      </c>
      <c r="F6" s="43">
        <v>120000</v>
      </c>
      <c r="G6" s="43" t="s">
        <v>289</v>
      </c>
      <c r="H6" s="159" t="s">
        <v>290</v>
      </c>
    </row>
    <row r="7" spans="1:8" ht="28.5">
      <c r="A7" s="42" t="s">
        <v>257</v>
      </c>
      <c r="B7" s="42" t="s">
        <v>5</v>
      </c>
      <c r="C7" s="42"/>
      <c r="D7" s="42"/>
      <c r="E7" s="42">
        <v>1800</v>
      </c>
      <c r="F7" s="42"/>
      <c r="G7" s="42" t="s">
        <v>291</v>
      </c>
      <c r="H7" s="157" t="s">
        <v>292</v>
      </c>
    </row>
    <row r="8" spans="1:8" ht="28.5">
      <c r="A8" s="42" t="s">
        <v>418</v>
      </c>
      <c r="B8" s="42" t="s">
        <v>5</v>
      </c>
      <c r="C8" s="42">
        <v>30650</v>
      </c>
      <c r="D8" s="42">
        <v>47650</v>
      </c>
      <c r="E8" s="42"/>
      <c r="F8" s="42"/>
      <c r="G8" s="42" t="s">
        <v>291</v>
      </c>
      <c r="H8" s="157" t="s">
        <v>293</v>
      </c>
    </row>
    <row r="9" spans="1:8" ht="28.5">
      <c r="A9" s="42" t="s">
        <v>294</v>
      </c>
      <c r="B9" s="42" t="s">
        <v>5</v>
      </c>
      <c r="C9" s="42">
        <v>8300</v>
      </c>
      <c r="D9" s="42">
        <v>83000</v>
      </c>
      <c r="E9" s="42"/>
      <c r="F9" s="42"/>
      <c r="G9" s="42" t="s">
        <v>295</v>
      </c>
      <c r="H9" s="157" t="s">
        <v>196</v>
      </c>
    </row>
    <row r="10" spans="1:8" ht="28.5">
      <c r="A10" s="42" t="s">
        <v>260</v>
      </c>
      <c r="B10" s="42" t="s">
        <v>347</v>
      </c>
      <c r="C10" s="42">
        <v>42.65</v>
      </c>
      <c r="D10" s="42"/>
      <c r="E10" s="42"/>
      <c r="F10" s="42">
        <v>40</v>
      </c>
      <c r="G10" s="42" t="s">
        <v>291</v>
      </c>
      <c r="H10" s="157" t="s">
        <v>197</v>
      </c>
    </row>
    <row r="11" spans="1:8" ht="14.25">
      <c r="A11" s="42" t="s">
        <v>263</v>
      </c>
      <c r="B11" s="42" t="s">
        <v>347</v>
      </c>
      <c r="C11" s="42"/>
      <c r="D11" s="42"/>
      <c r="E11" s="42">
        <v>25</v>
      </c>
      <c r="F11" s="42"/>
      <c r="G11" s="42" t="s">
        <v>291</v>
      </c>
      <c r="H11" s="157" t="s">
        <v>198</v>
      </c>
    </row>
    <row r="12" spans="1:8" ht="28.5">
      <c r="A12" s="42" t="s">
        <v>264</v>
      </c>
      <c r="B12" s="42" t="s">
        <v>347</v>
      </c>
      <c r="C12" s="42">
        <v>9</v>
      </c>
      <c r="D12" s="42"/>
      <c r="E12" s="42"/>
      <c r="F12" s="56" t="s">
        <v>656</v>
      </c>
      <c r="G12" s="42" t="s">
        <v>291</v>
      </c>
      <c r="H12" s="157" t="s">
        <v>199</v>
      </c>
    </row>
    <row r="13" spans="1:8" ht="14.25">
      <c r="A13" s="42" t="s">
        <v>266</v>
      </c>
      <c r="B13" s="42"/>
      <c r="C13" s="42"/>
      <c r="D13" s="42"/>
      <c r="E13" s="42"/>
      <c r="F13" s="42"/>
      <c r="G13" s="42"/>
      <c r="H13" s="157" t="s">
        <v>200</v>
      </c>
    </row>
    <row r="14" spans="1:8" ht="14.25">
      <c r="A14" s="42" t="s">
        <v>274</v>
      </c>
      <c r="B14" s="42" t="s">
        <v>347</v>
      </c>
      <c r="C14" s="42"/>
      <c r="D14" s="42"/>
      <c r="E14" s="42">
        <v>25.65</v>
      </c>
      <c r="F14" s="42"/>
      <c r="G14" s="42" t="s">
        <v>201</v>
      </c>
      <c r="H14" s="157" t="s">
        <v>202</v>
      </c>
    </row>
    <row r="15" spans="1:8" ht="28.5">
      <c r="A15" s="42" t="s">
        <v>475</v>
      </c>
      <c r="B15" s="42" t="s">
        <v>5</v>
      </c>
      <c r="C15" s="42">
        <v>30650</v>
      </c>
      <c r="D15" s="42">
        <v>47650</v>
      </c>
      <c r="E15" s="42"/>
      <c r="F15" s="42"/>
      <c r="G15" s="42" t="s">
        <v>291</v>
      </c>
      <c r="H15" s="157" t="s">
        <v>293</v>
      </c>
    </row>
    <row r="16" spans="1:8" ht="14.25">
      <c r="A16" s="42" t="s">
        <v>279</v>
      </c>
      <c r="B16" s="42"/>
      <c r="C16" s="42"/>
      <c r="D16" s="42"/>
      <c r="E16" s="42"/>
      <c r="F16" s="42"/>
      <c r="G16" s="42"/>
      <c r="H16" s="157" t="s">
        <v>200</v>
      </c>
    </row>
    <row r="17" spans="1:8" ht="28.5">
      <c r="A17" s="42" t="s">
        <v>281</v>
      </c>
      <c r="B17" s="42" t="s">
        <v>347</v>
      </c>
      <c r="C17" s="42"/>
      <c r="D17" s="42"/>
      <c r="E17" s="42">
        <v>0.18</v>
      </c>
      <c r="F17" s="42">
        <v>1.75</v>
      </c>
      <c r="G17" s="42" t="s">
        <v>291</v>
      </c>
      <c r="H17" s="157" t="s">
        <v>345</v>
      </c>
    </row>
    <row r="18" spans="1:8" ht="57">
      <c r="A18" s="42" t="s">
        <v>422</v>
      </c>
      <c r="B18" s="42" t="s">
        <v>347</v>
      </c>
      <c r="C18" s="42">
        <v>0.9</v>
      </c>
      <c r="D18" s="42">
        <v>0.9</v>
      </c>
      <c r="E18" s="42"/>
      <c r="F18" s="42"/>
      <c r="G18" s="42" t="s">
        <v>201</v>
      </c>
      <c r="H18" s="157" t="s">
        <v>205</v>
      </c>
    </row>
    <row r="19" spans="1:8" ht="14.25">
      <c r="A19" s="42" t="s">
        <v>427</v>
      </c>
      <c r="B19" s="42"/>
      <c r="C19" s="42"/>
      <c r="D19" s="42"/>
      <c r="E19" s="42"/>
      <c r="F19" s="42"/>
      <c r="G19" s="42"/>
      <c r="H19" s="157" t="s">
        <v>200</v>
      </c>
    </row>
    <row r="20" spans="1:8" ht="14.25">
      <c r="A20" s="42" t="s">
        <v>428</v>
      </c>
      <c r="B20" s="42" t="s">
        <v>347</v>
      </c>
      <c r="C20" s="42"/>
      <c r="D20" s="42"/>
      <c r="E20" s="42">
        <v>38.1</v>
      </c>
      <c r="F20" s="42">
        <v>60.5</v>
      </c>
      <c r="G20" s="42" t="s">
        <v>201</v>
      </c>
      <c r="H20" s="157" t="s">
        <v>206</v>
      </c>
    </row>
    <row r="21" spans="1:8" ht="14.25">
      <c r="A21" s="51" t="s">
        <v>429</v>
      </c>
      <c r="B21" s="51" t="s">
        <v>5</v>
      </c>
      <c r="C21" s="51"/>
      <c r="D21" s="51"/>
      <c r="E21" s="51"/>
      <c r="F21" s="51"/>
      <c r="G21" s="51"/>
      <c r="H21" s="158" t="s">
        <v>200</v>
      </c>
    </row>
    <row r="22" spans="1:8" ht="28.5">
      <c r="A22" s="42" t="s">
        <v>53</v>
      </c>
      <c r="B22" s="42" t="s">
        <v>5</v>
      </c>
      <c r="C22" s="42">
        <v>30650</v>
      </c>
      <c r="D22" s="42">
        <v>47650</v>
      </c>
      <c r="E22" s="42"/>
      <c r="F22" s="42"/>
      <c r="G22" s="42" t="s">
        <v>291</v>
      </c>
      <c r="H22" s="157" t="s">
        <v>293</v>
      </c>
    </row>
    <row r="23" spans="1:8" ht="14.25">
      <c r="A23" s="42" t="s">
        <v>434</v>
      </c>
      <c r="B23" s="42" t="s">
        <v>5</v>
      </c>
      <c r="C23" s="42"/>
      <c r="D23" s="42"/>
      <c r="E23" s="42">
        <v>1800</v>
      </c>
      <c r="F23" s="42"/>
      <c r="G23" s="42" t="s">
        <v>291</v>
      </c>
      <c r="H23" s="157" t="s">
        <v>207</v>
      </c>
    </row>
    <row r="24" spans="1:8" ht="14.25">
      <c r="A24" s="42" t="s">
        <v>24</v>
      </c>
      <c r="B24" s="42" t="s">
        <v>5</v>
      </c>
      <c r="C24" s="42"/>
      <c r="D24" s="42"/>
      <c r="E24" s="42">
        <v>1000</v>
      </c>
      <c r="F24" s="42">
        <v>1350</v>
      </c>
      <c r="G24" s="42" t="s">
        <v>291</v>
      </c>
      <c r="H24" s="157" t="s">
        <v>208</v>
      </c>
    </row>
    <row r="25" spans="1:8" ht="14.25">
      <c r="A25" s="42" t="s">
        <v>65</v>
      </c>
      <c r="B25" s="42" t="s">
        <v>5</v>
      </c>
      <c r="C25" s="42"/>
      <c r="D25" s="42"/>
      <c r="E25" s="42">
        <v>1000</v>
      </c>
      <c r="F25" s="42">
        <v>1350</v>
      </c>
      <c r="G25" s="42" t="s">
        <v>291</v>
      </c>
      <c r="H25" s="157" t="s">
        <v>208</v>
      </c>
    </row>
    <row r="26" spans="1:8" ht="14.25">
      <c r="A26" s="42" t="s">
        <v>66</v>
      </c>
      <c r="B26" s="42" t="s">
        <v>5</v>
      </c>
      <c r="C26" s="42"/>
      <c r="D26" s="42"/>
      <c r="E26" s="42">
        <v>1000</v>
      </c>
      <c r="F26" s="42">
        <v>1350</v>
      </c>
      <c r="G26" s="42" t="s">
        <v>291</v>
      </c>
      <c r="H26" s="157" t="s">
        <v>208</v>
      </c>
    </row>
    <row r="27" spans="1:8" ht="28.5">
      <c r="A27" s="42" t="s">
        <v>439</v>
      </c>
      <c r="B27" s="42" t="s">
        <v>5</v>
      </c>
      <c r="C27" s="42">
        <v>10000</v>
      </c>
      <c r="D27" s="42">
        <v>10000</v>
      </c>
      <c r="E27" s="42"/>
      <c r="F27" s="42"/>
      <c r="G27" s="42" t="s">
        <v>291</v>
      </c>
      <c r="H27" s="157" t="s">
        <v>209</v>
      </c>
    </row>
    <row r="28" spans="1:8" ht="15">
      <c r="A28" s="286" t="s">
        <v>659</v>
      </c>
      <c r="B28" s="286" t="s">
        <v>498</v>
      </c>
      <c r="C28" s="285" t="s">
        <v>284</v>
      </c>
      <c r="D28" s="285"/>
      <c r="E28" s="285" t="s">
        <v>285</v>
      </c>
      <c r="F28" s="285"/>
      <c r="G28" s="289" t="s">
        <v>2</v>
      </c>
      <c r="H28" s="289" t="s">
        <v>408</v>
      </c>
    </row>
    <row r="29" spans="1:8" ht="15">
      <c r="A29" s="287"/>
      <c r="B29" s="287"/>
      <c r="C29" s="160" t="s">
        <v>286</v>
      </c>
      <c r="D29" s="160" t="s">
        <v>287</v>
      </c>
      <c r="E29" s="160" t="s">
        <v>286</v>
      </c>
      <c r="F29" s="160" t="s">
        <v>344</v>
      </c>
      <c r="G29" s="290"/>
      <c r="H29" s="290"/>
    </row>
    <row r="30" spans="1:8" ht="28.5">
      <c r="A30" s="42" t="s">
        <v>67</v>
      </c>
      <c r="B30" s="42" t="s">
        <v>5</v>
      </c>
      <c r="C30" s="42">
        <v>10000</v>
      </c>
      <c r="D30" s="42">
        <v>10000</v>
      </c>
      <c r="E30" s="42"/>
      <c r="F30" s="42"/>
      <c r="G30" s="42" t="s">
        <v>291</v>
      </c>
      <c r="H30" s="157" t="s">
        <v>209</v>
      </c>
    </row>
    <row r="31" spans="1:8" ht="28.5">
      <c r="A31" s="42" t="s">
        <v>210</v>
      </c>
      <c r="B31" s="42" t="s">
        <v>5</v>
      </c>
      <c r="C31" s="42">
        <v>10000</v>
      </c>
      <c r="D31" s="42">
        <v>10000</v>
      </c>
      <c r="E31" s="42"/>
      <c r="F31" s="42"/>
      <c r="G31" s="42" t="s">
        <v>291</v>
      </c>
      <c r="H31" s="157" t="s">
        <v>209</v>
      </c>
    </row>
    <row r="32" spans="1:8" ht="14.25">
      <c r="A32" s="42" t="s">
        <v>478</v>
      </c>
      <c r="B32" s="42" t="s">
        <v>5</v>
      </c>
      <c r="C32" s="42">
        <v>30650</v>
      </c>
      <c r="D32" s="42">
        <v>47650</v>
      </c>
      <c r="E32" s="42"/>
      <c r="F32" s="42"/>
      <c r="G32" s="42" t="s">
        <v>291</v>
      </c>
      <c r="H32" s="157" t="s">
        <v>211</v>
      </c>
    </row>
    <row r="33" spans="1:8" ht="28.5">
      <c r="A33" s="42" t="s">
        <v>212</v>
      </c>
      <c r="B33" s="42" t="s">
        <v>5</v>
      </c>
      <c r="C33" s="42">
        <v>8300</v>
      </c>
      <c r="D33" s="42">
        <v>83000</v>
      </c>
      <c r="E33" s="42"/>
      <c r="F33" s="42"/>
      <c r="G33" s="42" t="s">
        <v>295</v>
      </c>
      <c r="H33" s="157" t="s">
        <v>196</v>
      </c>
    </row>
    <row r="34" spans="1:8" ht="28.5">
      <c r="A34" s="42" t="s">
        <v>445</v>
      </c>
      <c r="B34" s="42" t="s">
        <v>5</v>
      </c>
      <c r="C34" s="42">
        <v>88650</v>
      </c>
      <c r="D34" s="42"/>
      <c r="E34" s="42"/>
      <c r="F34" s="42"/>
      <c r="G34" s="42" t="s">
        <v>291</v>
      </c>
      <c r="H34" s="157" t="s">
        <v>213</v>
      </c>
    </row>
    <row r="35" spans="1:8" ht="28.5">
      <c r="A35" s="42" t="s">
        <v>446</v>
      </c>
      <c r="B35" s="42" t="s">
        <v>5</v>
      </c>
      <c r="C35" s="42">
        <v>88650</v>
      </c>
      <c r="D35" s="42"/>
      <c r="E35" s="42"/>
      <c r="F35" s="42"/>
      <c r="G35" s="42" t="s">
        <v>291</v>
      </c>
      <c r="H35" s="157" t="s">
        <v>213</v>
      </c>
    </row>
    <row r="36" spans="1:8" ht="28.5">
      <c r="A36" s="51" t="s">
        <v>447</v>
      </c>
      <c r="B36" s="51" t="s">
        <v>5</v>
      </c>
      <c r="C36" s="51"/>
      <c r="D36" s="51"/>
      <c r="E36" s="51">
        <v>232500</v>
      </c>
      <c r="F36" s="51"/>
      <c r="G36" s="51" t="s">
        <v>291</v>
      </c>
      <c r="H36" s="158" t="s">
        <v>214</v>
      </c>
    </row>
    <row r="37" spans="1:8" ht="28.5">
      <c r="A37" s="42" t="s">
        <v>451</v>
      </c>
      <c r="B37" s="42" t="s">
        <v>347</v>
      </c>
      <c r="C37" s="42"/>
      <c r="D37" s="42"/>
      <c r="E37" s="42">
        <v>1250</v>
      </c>
      <c r="F37" s="42"/>
      <c r="G37" s="42" t="s">
        <v>201</v>
      </c>
      <c r="H37" s="157" t="s">
        <v>215</v>
      </c>
    </row>
    <row r="38" spans="1:8" ht="14.25">
      <c r="A38" s="42" t="s">
        <v>456</v>
      </c>
      <c r="B38" s="42" t="s">
        <v>347</v>
      </c>
      <c r="C38" s="42"/>
      <c r="D38" s="42"/>
      <c r="E38" s="42">
        <v>131</v>
      </c>
      <c r="F38" s="42">
        <v>221</v>
      </c>
      <c r="G38" s="42" t="s">
        <v>201</v>
      </c>
      <c r="H38" s="157" t="s">
        <v>216</v>
      </c>
    </row>
    <row r="39" spans="1:8" ht="14.25">
      <c r="A39" s="42" t="s">
        <v>458</v>
      </c>
      <c r="B39" s="42" t="s">
        <v>347</v>
      </c>
      <c r="C39" s="42"/>
      <c r="D39" s="42"/>
      <c r="E39" s="42"/>
      <c r="F39" s="42"/>
      <c r="G39" s="42"/>
      <c r="H39" s="157" t="s">
        <v>200</v>
      </c>
    </row>
    <row r="40" spans="1:8" ht="14.25">
      <c r="A40" s="42" t="s">
        <v>461</v>
      </c>
      <c r="B40" s="42" t="s">
        <v>347</v>
      </c>
      <c r="C40" s="42"/>
      <c r="D40" s="42"/>
      <c r="E40" s="42"/>
      <c r="F40" s="42"/>
      <c r="G40" s="42"/>
      <c r="H40" s="157" t="s">
        <v>200</v>
      </c>
    </row>
    <row r="41" spans="1:8" ht="28.5">
      <c r="A41" s="42" t="s">
        <v>462</v>
      </c>
      <c r="B41" s="42" t="s">
        <v>5</v>
      </c>
      <c r="C41" s="42">
        <v>54500</v>
      </c>
      <c r="D41" s="42"/>
      <c r="E41" s="42">
        <v>54500</v>
      </c>
      <c r="F41" s="42"/>
      <c r="G41" s="42" t="s">
        <v>291</v>
      </c>
      <c r="H41" s="157" t="s">
        <v>217</v>
      </c>
    </row>
    <row r="42" spans="1:8" ht="14.25">
      <c r="A42" s="42" t="s">
        <v>462</v>
      </c>
      <c r="B42" s="42" t="s">
        <v>5</v>
      </c>
      <c r="C42" s="42">
        <v>500</v>
      </c>
      <c r="D42" s="42">
        <v>1950</v>
      </c>
      <c r="E42" s="42"/>
      <c r="F42" s="42"/>
      <c r="G42" s="42" t="s">
        <v>289</v>
      </c>
      <c r="H42" s="157" t="s">
        <v>218</v>
      </c>
    </row>
    <row r="43" spans="1:8" ht="42.75">
      <c r="A43" s="42" t="s">
        <v>0</v>
      </c>
      <c r="B43" s="42" t="s">
        <v>5</v>
      </c>
      <c r="C43" s="42">
        <v>12500</v>
      </c>
      <c r="D43" s="42"/>
      <c r="E43" s="42">
        <v>3550</v>
      </c>
      <c r="F43" s="42"/>
      <c r="G43" s="42" t="s">
        <v>291</v>
      </c>
      <c r="H43" s="157" t="s">
        <v>353</v>
      </c>
    </row>
    <row r="44" spans="1:8" ht="28.5">
      <c r="A44" s="51" t="s">
        <v>464</v>
      </c>
      <c r="B44" s="51" t="s">
        <v>3</v>
      </c>
      <c r="C44" s="51">
        <v>645000</v>
      </c>
      <c r="D44" s="51"/>
      <c r="E44" s="51">
        <v>645000</v>
      </c>
      <c r="F44" s="51"/>
      <c r="G44" s="51" t="s">
        <v>291</v>
      </c>
      <c r="H44" s="158" t="s">
        <v>354</v>
      </c>
    </row>
    <row r="45" spans="1:8" ht="14.25">
      <c r="A45" s="42" t="s">
        <v>465</v>
      </c>
      <c r="B45" s="42" t="s">
        <v>347</v>
      </c>
      <c r="C45" s="42"/>
      <c r="D45" s="42"/>
      <c r="E45" s="42"/>
      <c r="F45" s="42"/>
      <c r="G45" s="42"/>
      <c r="H45" s="157" t="s">
        <v>200</v>
      </c>
    </row>
    <row r="46" spans="1:8" ht="28.5">
      <c r="A46" s="42" t="s">
        <v>468</v>
      </c>
      <c r="B46" s="42" t="s">
        <v>347</v>
      </c>
      <c r="C46" s="42">
        <v>515</v>
      </c>
      <c r="D46" s="42"/>
      <c r="E46" s="42"/>
      <c r="F46" s="42"/>
      <c r="G46" s="42" t="s">
        <v>291</v>
      </c>
      <c r="H46" s="157" t="s">
        <v>355</v>
      </c>
    </row>
    <row r="47" spans="1:8" ht="14.25">
      <c r="A47" s="51" t="s">
        <v>356</v>
      </c>
      <c r="B47" s="51"/>
      <c r="C47" s="51"/>
      <c r="D47" s="51"/>
      <c r="E47" s="51"/>
      <c r="F47" s="51"/>
      <c r="G47" s="51"/>
      <c r="H47" s="158" t="s">
        <v>200</v>
      </c>
    </row>
    <row r="48" spans="1:8" ht="14.25">
      <c r="A48" s="51" t="s">
        <v>299</v>
      </c>
      <c r="B48" s="51" t="s">
        <v>5</v>
      </c>
      <c r="C48" s="51"/>
      <c r="D48" s="51"/>
      <c r="E48" s="51"/>
      <c r="F48" s="51"/>
      <c r="G48" s="51"/>
      <c r="H48" s="158" t="s">
        <v>357</v>
      </c>
    </row>
    <row r="49" spans="1:8" ht="14.25">
      <c r="A49" s="51" t="s">
        <v>306</v>
      </c>
      <c r="B49" s="51" t="s">
        <v>5</v>
      </c>
      <c r="C49" s="51"/>
      <c r="D49" s="51"/>
      <c r="E49" s="51">
        <v>3600</v>
      </c>
      <c r="F49" s="51">
        <v>36000</v>
      </c>
      <c r="G49" s="51" t="s">
        <v>358</v>
      </c>
      <c r="H49" s="158" t="s">
        <v>359</v>
      </c>
    </row>
    <row r="50" spans="1:8" ht="42.75">
      <c r="A50" s="51" t="s">
        <v>308</v>
      </c>
      <c r="B50" s="51" t="s">
        <v>5</v>
      </c>
      <c r="C50" s="51"/>
      <c r="D50" s="51"/>
      <c r="E50" s="51">
        <v>61500</v>
      </c>
      <c r="F50" s="51"/>
      <c r="G50" s="51" t="s">
        <v>291</v>
      </c>
      <c r="H50" s="158" t="s">
        <v>666</v>
      </c>
    </row>
    <row r="51" spans="1:8" ht="15">
      <c r="A51" s="286" t="s">
        <v>659</v>
      </c>
      <c r="B51" s="286" t="s">
        <v>498</v>
      </c>
      <c r="C51" s="285" t="s">
        <v>284</v>
      </c>
      <c r="D51" s="285"/>
      <c r="E51" s="285" t="s">
        <v>285</v>
      </c>
      <c r="F51" s="285"/>
      <c r="G51" s="289" t="s">
        <v>2</v>
      </c>
      <c r="H51" s="289" t="s">
        <v>408</v>
      </c>
    </row>
    <row r="52" spans="1:8" ht="15">
      <c r="A52" s="287"/>
      <c r="B52" s="287"/>
      <c r="C52" s="160" t="s">
        <v>286</v>
      </c>
      <c r="D52" s="160" t="s">
        <v>287</v>
      </c>
      <c r="E52" s="160" t="s">
        <v>286</v>
      </c>
      <c r="F52" s="160" t="s">
        <v>344</v>
      </c>
      <c r="G52" s="290"/>
      <c r="H52" s="290"/>
    </row>
    <row r="53" spans="1:8" ht="28.5">
      <c r="A53" s="42" t="s">
        <v>322</v>
      </c>
      <c r="B53" s="42" t="s">
        <v>347</v>
      </c>
      <c r="C53" s="42">
        <v>8</v>
      </c>
      <c r="D53" s="42"/>
      <c r="E53" s="42">
        <v>8</v>
      </c>
      <c r="F53" s="42"/>
      <c r="G53" s="42" t="s">
        <v>667</v>
      </c>
      <c r="H53" s="157" t="s">
        <v>668</v>
      </c>
    </row>
    <row r="54" spans="1:8" ht="14.25">
      <c r="A54" s="42" t="s">
        <v>669</v>
      </c>
      <c r="B54" s="42" t="s">
        <v>347</v>
      </c>
      <c r="C54" s="42">
        <v>5.7</v>
      </c>
      <c r="D54" s="42">
        <v>7</v>
      </c>
      <c r="E54" s="42"/>
      <c r="F54" s="42"/>
      <c r="G54" s="42" t="s">
        <v>201</v>
      </c>
      <c r="H54" s="157" t="s">
        <v>670</v>
      </c>
    </row>
    <row r="55" spans="1:8" ht="14.25">
      <c r="A55" s="42" t="s">
        <v>323</v>
      </c>
      <c r="B55" s="42" t="s">
        <v>347</v>
      </c>
      <c r="C55" s="42"/>
      <c r="D55" s="42"/>
      <c r="E55" s="42">
        <v>0.3</v>
      </c>
      <c r="F55" s="42"/>
      <c r="G55" s="42" t="s">
        <v>291</v>
      </c>
      <c r="H55" s="157" t="s">
        <v>671</v>
      </c>
    </row>
    <row r="56" spans="1:8" ht="14.25">
      <c r="A56" s="42" t="s">
        <v>326</v>
      </c>
      <c r="B56" s="42" t="s">
        <v>347</v>
      </c>
      <c r="C56" s="42"/>
      <c r="D56" s="42"/>
      <c r="E56" s="42"/>
      <c r="F56" s="42"/>
      <c r="G56" s="42"/>
      <c r="H56" s="157" t="s">
        <v>200</v>
      </c>
    </row>
    <row r="57" spans="1:8" ht="14.25">
      <c r="A57" s="42" t="s">
        <v>383</v>
      </c>
      <c r="B57" s="42" t="s">
        <v>347</v>
      </c>
      <c r="C57" s="42"/>
      <c r="D57" s="42"/>
      <c r="E57" s="42">
        <v>13.6</v>
      </c>
      <c r="F57" s="42"/>
      <c r="G57" s="42" t="s">
        <v>201</v>
      </c>
      <c r="H57" s="157" t="s">
        <v>672</v>
      </c>
    </row>
    <row r="58" spans="1:8" ht="14.25">
      <c r="A58" s="42" t="s">
        <v>332</v>
      </c>
      <c r="B58" s="42" t="s">
        <v>347</v>
      </c>
      <c r="C58" s="42"/>
      <c r="D58" s="42"/>
      <c r="E58" s="42"/>
      <c r="F58" s="42"/>
      <c r="G58" s="42"/>
      <c r="H58" s="157" t="s">
        <v>200</v>
      </c>
    </row>
    <row r="59" spans="1:8" ht="14.25">
      <c r="A59" s="42" t="s">
        <v>635</v>
      </c>
      <c r="B59" s="42" t="s">
        <v>347</v>
      </c>
      <c r="C59" s="42"/>
      <c r="D59" s="42"/>
      <c r="E59" s="42"/>
      <c r="F59" s="42"/>
      <c r="G59" s="42"/>
      <c r="H59" s="157" t="s">
        <v>200</v>
      </c>
    </row>
    <row r="60" spans="1:8" ht="42.75">
      <c r="A60" s="42" t="s">
        <v>333</v>
      </c>
      <c r="B60" s="42" t="s">
        <v>5</v>
      </c>
      <c r="C60" s="57" t="s">
        <v>657</v>
      </c>
      <c r="D60" s="42">
        <v>16500</v>
      </c>
      <c r="E60" s="42">
        <v>2000</v>
      </c>
      <c r="F60" s="42">
        <v>5000</v>
      </c>
      <c r="G60" s="42" t="s">
        <v>291</v>
      </c>
      <c r="H60" s="157" t="s">
        <v>219</v>
      </c>
    </row>
    <row r="61" spans="1:8" ht="28.5">
      <c r="A61" s="42" t="s">
        <v>337</v>
      </c>
      <c r="B61" s="42" t="s">
        <v>347</v>
      </c>
      <c r="C61" s="42"/>
      <c r="D61" s="42">
        <v>0.2</v>
      </c>
      <c r="E61" s="42"/>
      <c r="F61" s="42"/>
      <c r="G61" s="58" t="s">
        <v>76</v>
      </c>
      <c r="H61" s="157" t="s">
        <v>77</v>
      </c>
    </row>
    <row r="62" spans="1:8" ht="42.75">
      <c r="A62" s="42" t="s">
        <v>340</v>
      </c>
      <c r="B62" s="42" t="s">
        <v>347</v>
      </c>
      <c r="C62" s="42">
        <v>28.7</v>
      </c>
      <c r="D62" s="42"/>
      <c r="E62" s="42">
        <v>12</v>
      </c>
      <c r="F62" s="42">
        <v>15.6</v>
      </c>
      <c r="G62" s="42" t="s">
        <v>291</v>
      </c>
      <c r="H62" s="157" t="s">
        <v>220</v>
      </c>
    </row>
    <row r="63" spans="1:8" ht="28.5">
      <c r="A63" s="42" t="s">
        <v>343</v>
      </c>
      <c r="B63" s="42" t="s">
        <v>347</v>
      </c>
      <c r="C63" s="42"/>
      <c r="D63" s="42"/>
      <c r="E63" s="42">
        <v>170</v>
      </c>
      <c r="F63" s="42">
        <v>200</v>
      </c>
      <c r="G63" s="42" t="s">
        <v>291</v>
      </c>
      <c r="H63" s="157" t="s">
        <v>221</v>
      </c>
    </row>
    <row r="64" spans="1:8" ht="13.5" customHeight="1">
      <c r="A64"/>
      <c r="B64"/>
      <c r="C64"/>
      <c r="D64"/>
      <c r="E64"/>
      <c r="F64"/>
      <c r="G64"/>
      <c r="H64" s="46"/>
    </row>
    <row r="65" spans="1:8" ht="12.75">
      <c r="A65" s="54" t="s">
        <v>222</v>
      </c>
      <c r="B65" s="53"/>
      <c r="C65" s="53"/>
      <c r="D65" s="53"/>
      <c r="E65" s="53"/>
      <c r="F65" s="53"/>
      <c r="G65" s="53"/>
      <c r="H65" s="59"/>
    </row>
    <row r="66" spans="1:8" ht="12.75">
      <c r="A66" s="54" t="s">
        <v>658</v>
      </c>
      <c r="B66" s="53"/>
      <c r="C66" s="53"/>
      <c r="D66" s="53"/>
      <c r="E66" s="53"/>
      <c r="F66" s="53"/>
      <c r="G66" s="53"/>
      <c r="H66" s="59"/>
    </row>
    <row r="67" spans="1:8" ht="12.75" customHeight="1">
      <c r="A67" s="54" t="s">
        <v>223</v>
      </c>
      <c r="B67" s="53"/>
      <c r="C67" s="53"/>
      <c r="D67" s="53"/>
      <c r="E67" s="53"/>
      <c r="F67" s="53"/>
      <c r="G67" s="53"/>
      <c r="H67" s="59"/>
    </row>
    <row r="68" spans="1:8" ht="25.5" customHeight="1">
      <c r="A68" s="282" t="s">
        <v>224</v>
      </c>
      <c r="B68" s="282"/>
      <c r="C68" s="282"/>
      <c r="D68" s="282"/>
      <c r="E68" s="282"/>
      <c r="F68" s="282"/>
      <c r="G68" s="282"/>
      <c r="H68" s="282"/>
    </row>
    <row r="69" spans="1:8" ht="12.75" customHeight="1">
      <c r="A69" s="283" t="s">
        <v>225</v>
      </c>
      <c r="B69" s="283"/>
      <c r="C69" s="283"/>
      <c r="D69" s="283"/>
      <c r="E69" s="283"/>
      <c r="F69" s="283"/>
      <c r="G69" s="283"/>
      <c r="H69" s="283"/>
    </row>
    <row r="70" spans="1:8" ht="24" customHeight="1">
      <c r="A70" s="280" t="s">
        <v>226</v>
      </c>
      <c r="B70" s="281"/>
      <c r="C70" s="281"/>
      <c r="D70" s="281"/>
      <c r="E70" s="281"/>
      <c r="F70" s="281"/>
      <c r="G70" s="281"/>
      <c r="H70" s="281"/>
    </row>
    <row r="71" spans="1:8" ht="12.75">
      <c r="A71" s="54" t="s">
        <v>227</v>
      </c>
      <c r="B71" s="53"/>
      <c r="C71" s="53"/>
      <c r="D71" s="53"/>
      <c r="E71" s="53"/>
      <c r="F71" s="53"/>
      <c r="G71" s="53"/>
      <c r="H71" s="59"/>
    </row>
    <row r="72" spans="1:8" ht="12.75">
      <c r="A72" s="54" t="s">
        <v>228</v>
      </c>
      <c r="B72" s="53"/>
      <c r="C72" s="53"/>
      <c r="D72" s="53"/>
      <c r="E72" s="53"/>
      <c r="F72" s="53"/>
      <c r="G72" s="53"/>
      <c r="H72" s="59"/>
    </row>
    <row r="73" spans="1:8" ht="12.75">
      <c r="A73" s="54" t="s">
        <v>229</v>
      </c>
      <c r="B73" s="53"/>
      <c r="C73" s="53"/>
      <c r="D73" s="53"/>
      <c r="E73" s="53"/>
      <c r="F73" s="53"/>
      <c r="G73" s="53"/>
      <c r="H73" s="59"/>
    </row>
    <row r="74" spans="1:8" ht="12.75">
      <c r="A74" s="54" t="s">
        <v>230</v>
      </c>
      <c r="B74" s="53"/>
      <c r="C74" s="53"/>
      <c r="D74" s="53"/>
      <c r="E74" s="53"/>
      <c r="F74" s="53"/>
      <c r="G74" s="53"/>
      <c r="H74" s="59"/>
    </row>
    <row r="75" spans="1:8" ht="12.75">
      <c r="A75" s="53" t="s">
        <v>231</v>
      </c>
      <c r="B75" s="53"/>
      <c r="C75" s="53"/>
      <c r="D75" s="53"/>
      <c r="E75" s="53"/>
      <c r="F75" s="53"/>
      <c r="G75" s="53"/>
      <c r="H75" s="59"/>
    </row>
    <row r="76" spans="1:8" ht="12.75">
      <c r="A76" s="53" t="s">
        <v>233</v>
      </c>
      <c r="B76" s="53"/>
      <c r="C76" s="53"/>
      <c r="D76" s="53"/>
      <c r="E76" s="53"/>
      <c r="F76" s="53"/>
      <c r="G76" s="53"/>
      <c r="H76" s="59"/>
    </row>
    <row r="77" spans="1:8" ht="12.75">
      <c r="A77" s="53" t="s">
        <v>232</v>
      </c>
      <c r="B77" s="53"/>
      <c r="C77" s="53"/>
      <c r="D77" s="53"/>
      <c r="E77" s="53"/>
      <c r="F77" s="53"/>
      <c r="G77" s="53"/>
      <c r="H77" s="59"/>
    </row>
  </sheetData>
  <mergeCells count="23">
    <mergeCell ref="G28:G29"/>
    <mergeCell ref="H28:H29"/>
    <mergeCell ref="A51:A52"/>
    <mergeCell ref="B51:B52"/>
    <mergeCell ref="C51:D51"/>
    <mergeCell ref="E51:F51"/>
    <mergeCell ref="G51:G52"/>
    <mergeCell ref="H51:H52"/>
    <mergeCell ref="A1:H1"/>
    <mergeCell ref="A4:A5"/>
    <mergeCell ref="H4:H5"/>
    <mergeCell ref="G4:G5"/>
    <mergeCell ref="B4:B5"/>
    <mergeCell ref="A70:H70"/>
    <mergeCell ref="A68:H68"/>
    <mergeCell ref="A69:H69"/>
    <mergeCell ref="A2:H2"/>
    <mergeCell ref="C4:D4"/>
    <mergeCell ref="E4:F4"/>
    <mergeCell ref="A28:A29"/>
    <mergeCell ref="B28:B29"/>
    <mergeCell ref="C28:D28"/>
    <mergeCell ref="E28:F28"/>
  </mergeCells>
  <printOptions/>
  <pageMargins left="1" right="1" top="1" bottom="1" header="0.5" footer="0.5"/>
  <pageSetup fitToHeight="2" horizontalDpi="600" verticalDpi="600" orientation="portrait" scale="52" r:id="rId1"/>
  <headerFooter alignWithMargins="0">
    <oddHeader>&amp;L&amp;11              Table 3 - Page &amp;P of &amp;N</oddHeader>
  </headerFooter>
  <rowBreaks count="1" manualBreakCount="1">
    <brk id="50" max="7" man="1"/>
  </rowBreaks>
</worksheet>
</file>

<file path=xl/worksheets/sheet5.xml><?xml version="1.0" encoding="utf-8"?>
<worksheet xmlns="http://schemas.openxmlformats.org/spreadsheetml/2006/main" xmlns:r="http://schemas.openxmlformats.org/officeDocument/2006/relationships">
  <sheetPr>
    <tabColor indexed="31"/>
  </sheetPr>
  <dimension ref="A1:O217"/>
  <sheetViews>
    <sheetView zoomScale="75" zoomScaleNormal="75" workbookViewId="0" topLeftCell="A1">
      <pane ySplit="2010" topLeftCell="BM73" activePane="bottomLeft" state="split"/>
      <selection pane="topLeft" activeCell="A4" sqref="A4:A8"/>
      <selection pane="bottomLeft" activeCell="A84" sqref="A84"/>
    </sheetView>
  </sheetViews>
  <sheetFormatPr defaultColWidth="9.140625" defaultRowHeight="12.75"/>
  <cols>
    <col min="1" max="1" width="50.00390625" style="0" customWidth="1"/>
    <col min="2" max="2" width="18.00390625" style="0" customWidth="1"/>
    <col min="3" max="3" width="18.28125" style="0" hidden="1" customWidth="1"/>
    <col min="4" max="4" width="20.28125" style="0" customWidth="1"/>
    <col min="5" max="5" width="22.421875" style="0" customWidth="1"/>
    <col min="6" max="6" width="20.8515625" style="0" customWidth="1"/>
    <col min="7" max="7" width="19.140625" style="0" customWidth="1"/>
    <col min="8" max="8" width="20.421875" style="0" customWidth="1"/>
    <col min="9" max="9" width="14.421875" style="0" customWidth="1"/>
    <col min="10" max="10" width="16.421875" style="0" customWidth="1"/>
    <col min="11" max="11" width="16.57421875" style="0" customWidth="1"/>
    <col min="12" max="12" width="10.7109375" style="0" customWidth="1"/>
    <col min="13" max="13" width="15.7109375" style="0" customWidth="1"/>
    <col min="14" max="14" width="19.140625" style="0" customWidth="1"/>
    <col min="15" max="15" width="49.140625" style="0" customWidth="1"/>
  </cols>
  <sheetData>
    <row r="1" spans="1:15" ht="20.25">
      <c r="A1" s="312" t="s">
        <v>795</v>
      </c>
      <c r="B1" s="313"/>
      <c r="C1" s="313"/>
      <c r="D1" s="313"/>
      <c r="E1" s="313"/>
      <c r="F1" s="313"/>
      <c r="G1" s="313"/>
      <c r="H1" s="313"/>
      <c r="I1" s="313"/>
      <c r="J1" s="313"/>
      <c r="K1" s="313"/>
      <c r="L1" s="313"/>
      <c r="M1" s="313"/>
      <c r="N1" s="313"/>
      <c r="O1" s="313"/>
    </row>
    <row r="2" spans="1:15" ht="20.25">
      <c r="A2" s="312" t="s">
        <v>676</v>
      </c>
      <c r="B2" s="313"/>
      <c r="C2" s="313"/>
      <c r="D2" s="313"/>
      <c r="E2" s="313"/>
      <c r="F2" s="313"/>
      <c r="G2" s="313"/>
      <c r="H2" s="313"/>
      <c r="I2" s="313"/>
      <c r="J2" s="313"/>
      <c r="K2" s="313"/>
      <c r="L2" s="313"/>
      <c r="M2" s="313"/>
      <c r="N2" s="313"/>
      <c r="O2" s="313"/>
    </row>
    <row r="3" spans="1:15" ht="8.25" customHeight="1" thickBot="1">
      <c r="A3" s="169"/>
      <c r="B3" s="169"/>
      <c r="C3" s="168"/>
      <c r="D3" s="168"/>
      <c r="E3" s="168"/>
      <c r="F3" s="168"/>
      <c r="G3" s="168"/>
      <c r="H3" s="168"/>
      <c r="I3" s="168"/>
      <c r="J3" s="168"/>
      <c r="K3" s="168"/>
      <c r="L3" s="168"/>
      <c r="M3" s="170"/>
      <c r="N3" s="170"/>
      <c r="O3" s="168"/>
    </row>
    <row r="4" spans="1:15" ht="18.75" customHeight="1" thickTop="1">
      <c r="A4" s="314" t="s">
        <v>497</v>
      </c>
      <c r="B4" s="317" t="s">
        <v>677</v>
      </c>
      <c r="C4" s="171"/>
      <c r="D4" s="318" t="s">
        <v>678</v>
      </c>
      <c r="E4" s="318"/>
      <c r="F4" s="318"/>
      <c r="G4" s="318"/>
      <c r="H4" s="319"/>
      <c r="I4" s="320" t="s">
        <v>679</v>
      </c>
      <c r="J4" s="320"/>
      <c r="K4" s="320"/>
      <c r="L4" s="320"/>
      <c r="M4" s="321" t="s">
        <v>680</v>
      </c>
      <c r="N4" s="321"/>
      <c r="O4" s="172"/>
    </row>
    <row r="5" spans="1:15" ht="13.5" customHeight="1">
      <c r="A5" s="315"/>
      <c r="B5" s="295"/>
      <c r="C5" s="322" t="s">
        <v>681</v>
      </c>
      <c r="D5" s="294" t="s">
        <v>682</v>
      </c>
      <c r="E5" s="294" t="s">
        <v>683</v>
      </c>
      <c r="F5" s="294" t="s">
        <v>684</v>
      </c>
      <c r="G5" s="294" t="s">
        <v>685</v>
      </c>
      <c r="H5" s="294" t="s">
        <v>686</v>
      </c>
      <c r="I5" s="294" t="s">
        <v>687</v>
      </c>
      <c r="J5" s="294" t="s">
        <v>688</v>
      </c>
      <c r="K5" s="294" t="s">
        <v>689</v>
      </c>
      <c r="L5" s="294" t="s">
        <v>690</v>
      </c>
      <c r="M5" s="298" t="s">
        <v>688</v>
      </c>
      <c r="N5" s="298" t="s">
        <v>689</v>
      </c>
      <c r="O5" s="301" t="s">
        <v>408</v>
      </c>
    </row>
    <row r="6" spans="1:15" ht="13.5" customHeight="1">
      <c r="A6" s="315"/>
      <c r="B6" s="295"/>
      <c r="C6" s="323"/>
      <c r="D6" s="295"/>
      <c r="E6" s="295"/>
      <c r="F6" s="295"/>
      <c r="G6" s="295"/>
      <c r="H6" s="295"/>
      <c r="I6" s="295"/>
      <c r="J6" s="295"/>
      <c r="K6" s="295"/>
      <c r="L6" s="295"/>
      <c r="M6" s="299"/>
      <c r="N6" s="299"/>
      <c r="O6" s="302"/>
    </row>
    <row r="7" spans="1:15" ht="12.75" customHeight="1">
      <c r="A7" s="315"/>
      <c r="B7" s="295"/>
      <c r="C7" s="323"/>
      <c r="D7" s="295"/>
      <c r="E7" s="295"/>
      <c r="F7" s="295"/>
      <c r="G7" s="295"/>
      <c r="H7" s="295"/>
      <c r="I7" s="295"/>
      <c r="J7" s="295"/>
      <c r="K7" s="295"/>
      <c r="L7" s="295"/>
      <c r="M7" s="299"/>
      <c r="N7" s="299"/>
      <c r="O7" s="302"/>
    </row>
    <row r="8" spans="1:15" ht="13.5" customHeight="1" thickBot="1">
      <c r="A8" s="316"/>
      <c r="B8" s="296"/>
      <c r="C8" s="324"/>
      <c r="D8" s="296"/>
      <c r="E8" s="296"/>
      <c r="F8" s="296"/>
      <c r="G8" s="296"/>
      <c r="H8" s="296"/>
      <c r="I8" s="296"/>
      <c r="J8" s="296"/>
      <c r="K8" s="296"/>
      <c r="L8" s="296"/>
      <c r="M8" s="300"/>
      <c r="N8" s="300"/>
      <c r="O8" s="303"/>
    </row>
    <row r="9" spans="1:15" ht="9.75" customHeight="1" thickTop="1">
      <c r="A9" s="304" t="s">
        <v>796</v>
      </c>
      <c r="B9" s="305"/>
      <c r="C9" s="305"/>
      <c r="D9" s="305"/>
      <c r="E9" s="305"/>
      <c r="F9" s="305"/>
      <c r="G9" s="305"/>
      <c r="H9" s="305"/>
      <c r="I9" s="305"/>
      <c r="J9" s="305"/>
      <c r="K9" s="305"/>
      <c r="L9" s="305"/>
      <c r="M9" s="305"/>
      <c r="N9" s="305"/>
      <c r="O9" s="306"/>
    </row>
    <row r="10" spans="1:15" ht="15.75" customHeight="1">
      <c r="A10" s="307"/>
      <c r="B10" s="308"/>
      <c r="C10" s="308"/>
      <c r="D10" s="308"/>
      <c r="E10" s="308"/>
      <c r="F10" s="308"/>
      <c r="G10" s="308"/>
      <c r="H10" s="308"/>
      <c r="I10" s="308"/>
      <c r="J10" s="308"/>
      <c r="K10" s="308"/>
      <c r="L10" s="308"/>
      <c r="M10" s="308"/>
      <c r="N10" s="308"/>
      <c r="O10" s="309"/>
    </row>
    <row r="11" spans="1:15" ht="15">
      <c r="A11" s="173" t="s">
        <v>150</v>
      </c>
      <c r="B11" s="174">
        <v>150</v>
      </c>
      <c r="C11" s="175">
        <v>7440382</v>
      </c>
      <c r="D11" s="175" t="s">
        <v>691</v>
      </c>
      <c r="E11" s="175">
        <v>34.3</v>
      </c>
      <c r="F11" s="175">
        <f>E11/10</f>
        <v>3.4299999999999997</v>
      </c>
      <c r="G11" s="175">
        <v>1.92</v>
      </c>
      <c r="H11" s="176" t="s">
        <v>511</v>
      </c>
      <c r="I11" s="177" t="s">
        <v>511</v>
      </c>
      <c r="J11" s="176" t="s">
        <v>511</v>
      </c>
      <c r="K11" s="176" t="s">
        <v>511</v>
      </c>
      <c r="L11" s="176" t="s">
        <v>511</v>
      </c>
      <c r="M11" s="178">
        <v>9900</v>
      </c>
      <c r="N11" s="179">
        <f>M11/10</f>
        <v>990</v>
      </c>
      <c r="O11" s="180" t="s">
        <v>511</v>
      </c>
    </row>
    <row r="12" spans="1:15" ht="15">
      <c r="A12" s="181" t="s">
        <v>692</v>
      </c>
      <c r="B12" s="174">
        <v>0.475</v>
      </c>
      <c r="C12" s="176" t="s">
        <v>511</v>
      </c>
      <c r="D12" s="175" t="s">
        <v>691</v>
      </c>
      <c r="E12" s="175">
        <v>1.12</v>
      </c>
      <c r="F12" s="175">
        <f>E12/10</f>
        <v>0.11200000000000002</v>
      </c>
      <c r="G12" s="175">
        <v>1.11</v>
      </c>
      <c r="H12" s="175" t="s">
        <v>511</v>
      </c>
      <c r="I12" s="175" t="s">
        <v>511</v>
      </c>
      <c r="J12" s="175" t="s">
        <v>511</v>
      </c>
      <c r="K12" s="175" t="s">
        <v>511</v>
      </c>
      <c r="L12" s="175" t="s">
        <v>511</v>
      </c>
      <c r="M12" s="179" t="s">
        <v>511</v>
      </c>
      <c r="N12" s="179" t="s">
        <v>511</v>
      </c>
      <c r="O12" s="180" t="s">
        <v>511</v>
      </c>
    </row>
    <row r="13" spans="1:15" ht="30">
      <c r="A13" s="182" t="s">
        <v>169</v>
      </c>
      <c r="B13" s="174">
        <v>200</v>
      </c>
      <c r="C13" s="175">
        <v>71432</v>
      </c>
      <c r="D13" s="176" t="s">
        <v>511</v>
      </c>
      <c r="E13" s="176" t="s">
        <v>511</v>
      </c>
      <c r="F13" s="176" t="s">
        <v>511</v>
      </c>
      <c r="G13" s="176" t="s">
        <v>511</v>
      </c>
      <c r="H13" s="175" t="s">
        <v>693</v>
      </c>
      <c r="I13" s="183" t="s">
        <v>694</v>
      </c>
      <c r="J13" s="184">
        <v>33000</v>
      </c>
      <c r="K13" s="184">
        <f>J13/10</f>
        <v>3300</v>
      </c>
      <c r="L13" s="174" t="s">
        <v>409</v>
      </c>
      <c r="M13" s="185">
        <v>22095.76</v>
      </c>
      <c r="N13" s="186">
        <v>10.2</v>
      </c>
      <c r="O13" s="180" t="s">
        <v>511</v>
      </c>
    </row>
    <row r="14" spans="1:15" ht="15">
      <c r="A14" s="182" t="s">
        <v>548</v>
      </c>
      <c r="B14" s="174">
        <v>3</v>
      </c>
      <c r="C14" s="175">
        <v>7782505</v>
      </c>
      <c r="D14" s="175" t="s">
        <v>691</v>
      </c>
      <c r="E14" s="175">
        <v>0.115</v>
      </c>
      <c r="F14" s="175">
        <f>E14/10</f>
        <v>0.0115</v>
      </c>
      <c r="G14" s="175">
        <v>1.01</v>
      </c>
      <c r="H14" s="175" t="s">
        <v>511</v>
      </c>
      <c r="I14" s="177" t="s">
        <v>511</v>
      </c>
      <c r="J14" s="175" t="s">
        <v>511</v>
      </c>
      <c r="K14" s="175" t="s">
        <v>511</v>
      </c>
      <c r="L14" s="175" t="s">
        <v>511</v>
      </c>
      <c r="M14" s="179" t="s">
        <v>511</v>
      </c>
      <c r="N14" s="179" t="s">
        <v>511</v>
      </c>
      <c r="O14" s="180" t="s">
        <v>511</v>
      </c>
    </row>
    <row r="15" spans="1:15" ht="30.75" customHeight="1">
      <c r="A15" s="182" t="s">
        <v>559</v>
      </c>
      <c r="B15" s="187">
        <f>EXP(0.8545*(LN(175))-1.702)*0.96</f>
        <v>14.447012130430716</v>
      </c>
      <c r="C15" s="175">
        <v>7440508</v>
      </c>
      <c r="D15" s="175" t="s">
        <v>695</v>
      </c>
      <c r="E15" s="175">
        <v>0.25</v>
      </c>
      <c r="F15" s="175">
        <f>E15/10</f>
        <v>0.025</v>
      </c>
      <c r="G15" s="175">
        <v>0.64</v>
      </c>
      <c r="H15" s="175" t="s">
        <v>696</v>
      </c>
      <c r="I15" s="183" t="s">
        <v>697</v>
      </c>
      <c r="J15" s="175">
        <v>96</v>
      </c>
      <c r="K15" s="175">
        <v>6.2</v>
      </c>
      <c r="L15" s="175">
        <v>15.48</v>
      </c>
      <c r="M15" s="188">
        <v>1200.98</v>
      </c>
      <c r="N15" s="189">
        <v>28.3</v>
      </c>
      <c r="O15" s="190" t="s">
        <v>698</v>
      </c>
    </row>
    <row r="16" spans="1:15" ht="15">
      <c r="A16" s="182" t="s">
        <v>582</v>
      </c>
      <c r="B16" s="174">
        <v>12</v>
      </c>
      <c r="C16" s="175">
        <v>118741</v>
      </c>
      <c r="D16" s="176" t="s">
        <v>511</v>
      </c>
      <c r="E16" s="176" t="s">
        <v>511</v>
      </c>
      <c r="F16" s="176" t="s">
        <v>511</v>
      </c>
      <c r="G16" s="176" t="s">
        <v>511</v>
      </c>
      <c r="H16" s="175" t="s">
        <v>511</v>
      </c>
      <c r="I16" s="183" t="s">
        <v>511</v>
      </c>
      <c r="J16" s="175" t="s">
        <v>511</v>
      </c>
      <c r="K16" s="175" t="s">
        <v>511</v>
      </c>
      <c r="L16" s="175" t="s">
        <v>511</v>
      </c>
      <c r="M16" s="189">
        <v>10</v>
      </c>
      <c r="N16" s="189">
        <f>M16/10</f>
        <v>1</v>
      </c>
      <c r="O16" s="180" t="s">
        <v>511</v>
      </c>
    </row>
    <row r="17" spans="1:15" ht="30">
      <c r="A17" s="173" t="s">
        <v>699</v>
      </c>
      <c r="B17" s="191">
        <v>0.77</v>
      </c>
      <c r="C17" s="175">
        <v>7439976</v>
      </c>
      <c r="D17" s="176" t="s">
        <v>511</v>
      </c>
      <c r="E17" s="176" t="s">
        <v>511</v>
      </c>
      <c r="F17" s="176" t="s">
        <v>511</v>
      </c>
      <c r="G17" s="176" t="s">
        <v>511</v>
      </c>
      <c r="H17" s="175" t="s">
        <v>700</v>
      </c>
      <c r="I17" s="183" t="s">
        <v>701</v>
      </c>
      <c r="J17" s="175" t="s">
        <v>702</v>
      </c>
      <c r="K17" s="175" t="s">
        <v>703</v>
      </c>
      <c r="L17" s="175" t="s">
        <v>704</v>
      </c>
      <c r="M17" s="179" t="s">
        <v>511</v>
      </c>
      <c r="N17" s="179" t="s">
        <v>511</v>
      </c>
      <c r="O17" s="190" t="s">
        <v>705</v>
      </c>
    </row>
    <row r="18" spans="1:15" ht="15">
      <c r="A18" s="182" t="s">
        <v>624</v>
      </c>
      <c r="B18" s="187">
        <f>(EXP(1.72*LN(175)-6.59))*0.85</f>
        <v>8.422552635332517</v>
      </c>
      <c r="C18" s="175">
        <v>7440224</v>
      </c>
      <c r="D18" s="176" t="s">
        <v>511</v>
      </c>
      <c r="E18" s="176" t="s">
        <v>511</v>
      </c>
      <c r="F18" s="176" t="s">
        <v>511</v>
      </c>
      <c r="G18" s="176" t="s">
        <v>511</v>
      </c>
      <c r="H18" s="175" t="s">
        <v>706</v>
      </c>
      <c r="I18" s="183" t="s">
        <v>707</v>
      </c>
      <c r="J18" s="175">
        <v>11.34</v>
      </c>
      <c r="K18" s="187">
        <f>J18/L18</f>
        <v>0.8301610541727672</v>
      </c>
      <c r="L18" s="175">
        <v>13.66</v>
      </c>
      <c r="M18" s="189">
        <v>5.78</v>
      </c>
      <c r="N18" s="189">
        <f>M18/10</f>
        <v>0.5780000000000001</v>
      </c>
      <c r="O18" s="190" t="s">
        <v>708</v>
      </c>
    </row>
    <row r="19" spans="1:15" ht="15">
      <c r="A19" s="182" t="s">
        <v>643</v>
      </c>
      <c r="B19" s="191">
        <f>EXP(0.8473*(LN(175))+0.884)*0.978</f>
        <v>188.27008359593776</v>
      </c>
      <c r="C19" s="175">
        <v>7440666</v>
      </c>
      <c r="D19" s="176" t="s">
        <v>511</v>
      </c>
      <c r="E19" s="176" t="s">
        <v>511</v>
      </c>
      <c r="F19" s="176" t="s">
        <v>511</v>
      </c>
      <c r="G19" s="176" t="s">
        <v>511</v>
      </c>
      <c r="H19" s="175" t="s">
        <v>696</v>
      </c>
      <c r="I19" s="183" t="s">
        <v>709</v>
      </c>
      <c r="J19" s="184">
        <v>3830</v>
      </c>
      <c r="K19" s="187">
        <f>J19/L19</f>
        <v>678.5967399007795</v>
      </c>
      <c r="L19" s="175">
        <v>5.644</v>
      </c>
      <c r="M19" s="188">
        <v>1365.01</v>
      </c>
      <c r="N19" s="192">
        <f>M19/10</f>
        <v>136.501</v>
      </c>
      <c r="O19" s="190" t="s">
        <v>710</v>
      </c>
    </row>
    <row r="20" spans="1:15" ht="8.25" customHeight="1">
      <c r="A20" s="182"/>
      <c r="B20" s="191"/>
      <c r="C20" s="175"/>
      <c r="D20" s="176"/>
      <c r="E20" s="176"/>
      <c r="F20" s="176"/>
      <c r="G20" s="176"/>
      <c r="H20" s="175"/>
      <c r="I20" s="183"/>
      <c r="J20" s="184"/>
      <c r="K20" s="187"/>
      <c r="L20" s="175"/>
      <c r="M20" s="188"/>
      <c r="N20" s="192"/>
      <c r="O20" s="190"/>
    </row>
    <row r="21" spans="1:15" ht="15.75">
      <c r="A21" s="291" t="s">
        <v>797</v>
      </c>
      <c r="B21" s="310"/>
      <c r="C21" s="310"/>
      <c r="D21" s="310"/>
      <c r="E21" s="310"/>
      <c r="F21" s="310"/>
      <c r="G21" s="310"/>
      <c r="H21" s="310"/>
      <c r="I21" s="310"/>
      <c r="J21" s="310"/>
      <c r="K21" s="310"/>
      <c r="L21" s="310"/>
      <c r="M21" s="310"/>
      <c r="N21" s="310"/>
      <c r="O21" s="311"/>
    </row>
    <row r="22" spans="1:15" ht="15">
      <c r="A22" s="182" t="s">
        <v>509</v>
      </c>
      <c r="B22" s="174">
        <v>89</v>
      </c>
      <c r="C22" s="175">
        <v>71556</v>
      </c>
      <c r="D22" s="176" t="s">
        <v>511</v>
      </c>
      <c r="E22" s="176" t="s">
        <v>511</v>
      </c>
      <c r="F22" s="176" t="s">
        <v>511</v>
      </c>
      <c r="G22" s="176" t="s">
        <v>511</v>
      </c>
      <c r="H22" s="176" t="s">
        <v>511</v>
      </c>
      <c r="I22" s="177" t="s">
        <v>511</v>
      </c>
      <c r="J22" s="176" t="s">
        <v>511</v>
      </c>
      <c r="K22" s="176" t="s">
        <v>511</v>
      </c>
      <c r="L22" s="176" t="s">
        <v>511</v>
      </c>
      <c r="M22" s="193">
        <v>42441.28</v>
      </c>
      <c r="N22" s="193">
        <f>M22/10</f>
        <v>4244.128</v>
      </c>
      <c r="O22" s="180" t="s">
        <v>511</v>
      </c>
    </row>
    <row r="23" spans="1:15" ht="15">
      <c r="A23" s="182" t="s">
        <v>512</v>
      </c>
      <c r="B23" s="174">
        <v>380</v>
      </c>
      <c r="C23" s="175">
        <v>79345</v>
      </c>
      <c r="D23" s="176" t="s">
        <v>511</v>
      </c>
      <c r="E23" s="176" t="s">
        <v>511</v>
      </c>
      <c r="F23" s="176" t="s">
        <v>511</v>
      </c>
      <c r="G23" s="176" t="s">
        <v>511</v>
      </c>
      <c r="H23" s="175" t="s">
        <v>409</v>
      </c>
      <c r="I23" s="183" t="s">
        <v>409</v>
      </c>
      <c r="J23" s="184">
        <v>20300</v>
      </c>
      <c r="K23" s="184">
        <v>2400</v>
      </c>
      <c r="L23" s="175">
        <v>8.5</v>
      </c>
      <c r="M23" s="188">
        <v>20349.94</v>
      </c>
      <c r="N23" s="188">
        <f>M23/10</f>
        <v>2034.994</v>
      </c>
      <c r="O23" s="180" t="s">
        <v>511</v>
      </c>
    </row>
    <row r="24" spans="1:15" ht="15">
      <c r="A24" s="182" t="s">
        <v>514</v>
      </c>
      <c r="B24" s="174">
        <v>500</v>
      </c>
      <c r="C24" s="175">
        <v>79005</v>
      </c>
      <c r="D24" s="176" t="s">
        <v>511</v>
      </c>
      <c r="E24" s="176" t="s">
        <v>511</v>
      </c>
      <c r="F24" s="176" t="s">
        <v>511</v>
      </c>
      <c r="G24" s="176" t="s">
        <v>511</v>
      </c>
      <c r="H24" s="175" t="s">
        <v>409</v>
      </c>
      <c r="I24" s="183" t="s">
        <v>409</v>
      </c>
      <c r="J24" s="184">
        <v>81700</v>
      </c>
      <c r="K24" s="184">
        <v>9400</v>
      </c>
      <c r="L24" s="175">
        <v>8.7</v>
      </c>
      <c r="M24" s="184">
        <v>81600</v>
      </c>
      <c r="N24" s="189">
        <f>M24/10</f>
        <v>8160</v>
      </c>
      <c r="O24" s="180" t="s">
        <v>511</v>
      </c>
    </row>
    <row r="25" spans="1:15" ht="15">
      <c r="A25" s="182" t="s">
        <v>711</v>
      </c>
      <c r="B25" s="174">
        <v>130</v>
      </c>
      <c r="C25" s="175">
        <v>75354</v>
      </c>
      <c r="D25" s="176" t="s">
        <v>511</v>
      </c>
      <c r="E25" s="176" t="s">
        <v>511</v>
      </c>
      <c r="F25" s="176" t="s">
        <v>511</v>
      </c>
      <c r="G25" s="176" t="s">
        <v>511</v>
      </c>
      <c r="H25" s="176" t="s">
        <v>511</v>
      </c>
      <c r="I25" s="177" t="s">
        <v>511</v>
      </c>
      <c r="J25" s="176" t="s">
        <v>511</v>
      </c>
      <c r="K25" s="176" t="s">
        <v>511</v>
      </c>
      <c r="L25" s="176" t="s">
        <v>511</v>
      </c>
      <c r="M25" s="193">
        <v>135099.96</v>
      </c>
      <c r="N25" s="178">
        <f>M25/10</f>
        <v>13509.996</v>
      </c>
      <c r="O25" s="180" t="s">
        <v>511</v>
      </c>
    </row>
    <row r="26" spans="1:15" ht="15">
      <c r="A26" s="182" t="s">
        <v>517</v>
      </c>
      <c r="B26" s="174">
        <v>30</v>
      </c>
      <c r="C26" s="175">
        <v>120821</v>
      </c>
      <c r="D26" s="176" t="s">
        <v>511</v>
      </c>
      <c r="E26" s="176" t="s">
        <v>511</v>
      </c>
      <c r="F26" s="176" t="s">
        <v>511</v>
      </c>
      <c r="G26" s="176" t="s">
        <v>511</v>
      </c>
      <c r="H26" s="175" t="s">
        <v>409</v>
      </c>
      <c r="I26" s="183" t="s">
        <v>409</v>
      </c>
      <c r="J26" s="184">
        <v>2870</v>
      </c>
      <c r="K26" s="175">
        <v>705</v>
      </c>
      <c r="L26" s="175">
        <v>4.1</v>
      </c>
      <c r="M26" s="188">
        <v>3505.38</v>
      </c>
      <c r="N26" s="188">
        <f>M26/10</f>
        <v>350.538</v>
      </c>
      <c r="O26" s="180" t="s">
        <v>511</v>
      </c>
    </row>
    <row r="27" spans="1:15" ht="15">
      <c r="A27" s="182" t="s">
        <v>520</v>
      </c>
      <c r="B27" s="194">
        <v>2000</v>
      </c>
      <c r="C27" s="175">
        <v>107062</v>
      </c>
      <c r="D27" s="176" t="s">
        <v>511</v>
      </c>
      <c r="E27" s="176" t="s">
        <v>511</v>
      </c>
      <c r="F27" s="176" t="s">
        <v>511</v>
      </c>
      <c r="G27" s="176" t="s">
        <v>511</v>
      </c>
      <c r="H27" s="175" t="s">
        <v>409</v>
      </c>
      <c r="I27" s="183" t="s">
        <v>409</v>
      </c>
      <c r="J27" s="184">
        <v>118000</v>
      </c>
      <c r="K27" s="184">
        <v>20000</v>
      </c>
      <c r="L27" s="175">
        <v>5.9</v>
      </c>
      <c r="M27" s="179" t="s">
        <v>511</v>
      </c>
      <c r="N27" s="179" t="s">
        <v>511</v>
      </c>
      <c r="O27" s="180" t="s">
        <v>511</v>
      </c>
    </row>
    <row r="28" spans="1:15" ht="15">
      <c r="A28" s="182" t="s">
        <v>521</v>
      </c>
      <c r="B28" s="174">
        <v>230</v>
      </c>
      <c r="C28" s="175">
        <v>78875</v>
      </c>
      <c r="D28" s="176" t="s">
        <v>511</v>
      </c>
      <c r="E28" s="176" t="s">
        <v>511</v>
      </c>
      <c r="F28" s="176" t="s">
        <v>511</v>
      </c>
      <c r="G28" s="176" t="s">
        <v>511</v>
      </c>
      <c r="H28" s="176" t="s">
        <v>511</v>
      </c>
      <c r="I28" s="177" t="s">
        <v>511</v>
      </c>
      <c r="J28" s="176" t="s">
        <v>511</v>
      </c>
      <c r="K28" s="176" t="s">
        <v>511</v>
      </c>
      <c r="L28" s="176" t="s">
        <v>511</v>
      </c>
      <c r="M28" s="193">
        <v>133341.67</v>
      </c>
      <c r="N28" s="193">
        <f>M28/10</f>
        <v>13334.167000000001</v>
      </c>
      <c r="O28" s="180" t="s">
        <v>511</v>
      </c>
    </row>
    <row r="29" spans="1:15" ht="15">
      <c r="A29" s="182" t="s">
        <v>523</v>
      </c>
      <c r="B29" s="174">
        <v>45</v>
      </c>
      <c r="C29" s="195" t="s">
        <v>511</v>
      </c>
      <c r="D29" s="195" t="s">
        <v>511</v>
      </c>
      <c r="E29" s="195" t="s">
        <v>511</v>
      </c>
      <c r="F29" s="195" t="s">
        <v>511</v>
      </c>
      <c r="G29" s="195" t="s">
        <v>511</v>
      </c>
      <c r="H29" s="195" t="s">
        <v>511</v>
      </c>
      <c r="I29" s="195" t="s">
        <v>511</v>
      </c>
      <c r="J29" s="195" t="s">
        <v>511</v>
      </c>
      <c r="K29" s="195" t="s">
        <v>511</v>
      </c>
      <c r="L29" s="195" t="s">
        <v>511</v>
      </c>
      <c r="M29" s="196">
        <v>1290.77</v>
      </c>
      <c r="N29" s="196">
        <f>M29/10</f>
        <v>129.077</v>
      </c>
      <c r="O29" s="197" t="s">
        <v>511</v>
      </c>
    </row>
    <row r="30" spans="1:15" ht="15">
      <c r="A30" s="182" t="s">
        <v>524</v>
      </c>
      <c r="B30" s="195">
        <v>28</v>
      </c>
      <c r="C30" s="175">
        <v>541731</v>
      </c>
      <c r="D30" s="176" t="s">
        <v>511</v>
      </c>
      <c r="E30" s="176" t="s">
        <v>511</v>
      </c>
      <c r="F30" s="176" t="s">
        <v>511</v>
      </c>
      <c r="G30" s="176" t="s">
        <v>511</v>
      </c>
      <c r="H30" s="176" t="s">
        <v>511</v>
      </c>
      <c r="I30" s="177" t="s">
        <v>511</v>
      </c>
      <c r="J30" s="176" t="s">
        <v>511</v>
      </c>
      <c r="K30" s="176" t="s">
        <v>511</v>
      </c>
      <c r="L30" s="176" t="s">
        <v>511</v>
      </c>
      <c r="M30" s="192">
        <v>8169.8</v>
      </c>
      <c r="N30" s="178">
        <v>1000</v>
      </c>
      <c r="O30" s="180" t="s">
        <v>511</v>
      </c>
    </row>
    <row r="31" spans="1:15" ht="15">
      <c r="A31" s="182" t="s">
        <v>525</v>
      </c>
      <c r="B31" s="174">
        <v>0.055</v>
      </c>
      <c r="C31" s="175">
        <v>542756</v>
      </c>
      <c r="D31" s="176" t="s">
        <v>511</v>
      </c>
      <c r="E31" s="176" t="s">
        <v>511</v>
      </c>
      <c r="F31" s="176" t="s">
        <v>511</v>
      </c>
      <c r="G31" s="176" t="s">
        <v>511</v>
      </c>
      <c r="H31" s="176" t="s">
        <v>511</v>
      </c>
      <c r="I31" s="177" t="s">
        <v>511</v>
      </c>
      <c r="J31" s="176" t="s">
        <v>511</v>
      </c>
      <c r="K31" s="176" t="s">
        <v>511</v>
      </c>
      <c r="L31" s="176" t="s">
        <v>511</v>
      </c>
      <c r="M31" s="193">
        <v>117362.99</v>
      </c>
      <c r="N31" s="193">
        <f aca="true" t="shared" si="0" ref="N31:N37">M31/10</f>
        <v>11736.299</v>
      </c>
      <c r="O31" s="180" t="s">
        <v>511</v>
      </c>
    </row>
    <row r="32" spans="1:15" ht="15">
      <c r="A32" s="182" t="s">
        <v>526</v>
      </c>
      <c r="B32" s="174">
        <v>16</v>
      </c>
      <c r="C32" s="175">
        <v>106467</v>
      </c>
      <c r="D32" s="176" t="s">
        <v>511</v>
      </c>
      <c r="E32" s="176" t="s">
        <v>511</v>
      </c>
      <c r="F32" s="176" t="s">
        <v>511</v>
      </c>
      <c r="G32" s="176" t="s">
        <v>511</v>
      </c>
      <c r="H32" s="176" t="s">
        <v>511</v>
      </c>
      <c r="I32" s="177" t="s">
        <v>511</v>
      </c>
      <c r="J32" s="176" t="s">
        <v>511</v>
      </c>
      <c r="K32" s="176" t="s">
        <v>511</v>
      </c>
      <c r="L32" s="176" t="s">
        <v>511</v>
      </c>
      <c r="M32" s="188">
        <v>7576.49</v>
      </c>
      <c r="N32" s="193">
        <f t="shared" si="0"/>
        <v>757.649</v>
      </c>
      <c r="O32" s="180" t="s">
        <v>511</v>
      </c>
    </row>
    <row r="33" spans="1:15" ht="15">
      <c r="A33" s="182" t="s">
        <v>529</v>
      </c>
      <c r="B33" s="174">
        <v>19</v>
      </c>
      <c r="C33" s="175">
        <v>120832</v>
      </c>
      <c r="D33" s="176" t="s">
        <v>511</v>
      </c>
      <c r="E33" s="176" t="s">
        <v>511</v>
      </c>
      <c r="F33" s="176" t="s">
        <v>511</v>
      </c>
      <c r="G33" s="176" t="s">
        <v>511</v>
      </c>
      <c r="H33" s="175" t="s">
        <v>712</v>
      </c>
      <c r="I33" s="183" t="s">
        <v>713</v>
      </c>
      <c r="J33" s="184">
        <v>8230</v>
      </c>
      <c r="K33" s="175">
        <v>365</v>
      </c>
      <c r="L33" s="175">
        <v>23</v>
      </c>
      <c r="M33" s="188">
        <v>8613.72</v>
      </c>
      <c r="N33" s="188">
        <f t="shared" si="0"/>
        <v>861.372</v>
      </c>
      <c r="O33" s="180" t="s">
        <v>511</v>
      </c>
    </row>
    <row r="34" spans="1:15" ht="15">
      <c r="A34" s="182" t="s">
        <v>530</v>
      </c>
      <c r="B34" s="174">
        <v>380</v>
      </c>
      <c r="C34" s="175">
        <v>105679</v>
      </c>
      <c r="D34" s="176" t="s">
        <v>511</v>
      </c>
      <c r="E34" s="176" t="s">
        <v>511</v>
      </c>
      <c r="F34" s="176" t="s">
        <v>511</v>
      </c>
      <c r="G34" s="176" t="s">
        <v>511</v>
      </c>
      <c r="H34" s="175" t="s">
        <v>714</v>
      </c>
      <c r="I34" s="183" t="s">
        <v>713</v>
      </c>
      <c r="J34" s="184">
        <v>16750</v>
      </c>
      <c r="K34" s="184">
        <v>2191</v>
      </c>
      <c r="L34" s="175">
        <v>6.8</v>
      </c>
      <c r="M34" s="188">
        <v>16948.91</v>
      </c>
      <c r="N34" s="188">
        <f t="shared" si="0"/>
        <v>1694.891</v>
      </c>
      <c r="O34" s="180" t="s">
        <v>511</v>
      </c>
    </row>
    <row r="35" spans="1:15" ht="15">
      <c r="A35" s="182" t="s">
        <v>531</v>
      </c>
      <c r="B35" s="174">
        <v>19</v>
      </c>
      <c r="C35" s="175">
        <v>51285</v>
      </c>
      <c r="D35" s="176" t="s">
        <v>511</v>
      </c>
      <c r="E35" s="176" t="s">
        <v>511</v>
      </c>
      <c r="F35" s="176" t="s">
        <v>511</v>
      </c>
      <c r="G35" s="176" t="s">
        <v>511</v>
      </c>
      <c r="H35" s="175" t="s">
        <v>409</v>
      </c>
      <c r="I35" s="183" t="s">
        <v>409</v>
      </c>
      <c r="J35" s="184">
        <v>16700</v>
      </c>
      <c r="K35" s="184">
        <f>J35/10</f>
        <v>1670</v>
      </c>
      <c r="L35" s="198" t="s">
        <v>409</v>
      </c>
      <c r="M35" s="199">
        <v>11668.59</v>
      </c>
      <c r="N35" s="199">
        <f t="shared" si="0"/>
        <v>1166.859</v>
      </c>
      <c r="O35" s="180" t="s">
        <v>511</v>
      </c>
    </row>
    <row r="36" spans="1:15" ht="15">
      <c r="A36" s="182" t="s">
        <v>532</v>
      </c>
      <c r="B36" s="174">
        <v>310</v>
      </c>
      <c r="C36" s="195" t="s">
        <v>511</v>
      </c>
      <c r="D36" s="195" t="s">
        <v>511</v>
      </c>
      <c r="E36" s="195" t="s">
        <v>511</v>
      </c>
      <c r="F36" s="195" t="s">
        <v>511</v>
      </c>
      <c r="G36" s="195" t="s">
        <v>511</v>
      </c>
      <c r="H36" s="195" t="s">
        <v>511</v>
      </c>
      <c r="I36" s="195" t="s">
        <v>511</v>
      </c>
      <c r="J36" s="195" t="s">
        <v>511</v>
      </c>
      <c r="K36" s="195" t="s">
        <v>511</v>
      </c>
      <c r="L36" s="195" t="s">
        <v>511</v>
      </c>
      <c r="M36" s="196">
        <v>28712.19</v>
      </c>
      <c r="N36" s="196">
        <f t="shared" si="0"/>
        <v>2871.219</v>
      </c>
      <c r="O36" s="197" t="s">
        <v>511</v>
      </c>
    </row>
    <row r="37" spans="1:15" ht="15">
      <c r="A37" s="200" t="s">
        <v>715</v>
      </c>
      <c r="B37" s="194">
        <v>2200</v>
      </c>
      <c r="C37" s="195" t="s">
        <v>511</v>
      </c>
      <c r="D37" s="195" t="s">
        <v>511</v>
      </c>
      <c r="E37" s="195" t="s">
        <v>511</v>
      </c>
      <c r="F37" s="195" t="s">
        <v>511</v>
      </c>
      <c r="G37" s="195" t="s">
        <v>511</v>
      </c>
      <c r="H37" s="195" t="s">
        <v>511</v>
      </c>
      <c r="I37" s="195" t="s">
        <v>511</v>
      </c>
      <c r="J37" s="195" t="s">
        <v>511</v>
      </c>
      <c r="K37" s="195" t="s">
        <v>511</v>
      </c>
      <c r="L37" s="195" t="s">
        <v>511</v>
      </c>
      <c r="M37" s="201">
        <v>322000</v>
      </c>
      <c r="N37" s="201">
        <f t="shared" si="0"/>
        <v>32200</v>
      </c>
      <c r="O37" s="197" t="s">
        <v>511</v>
      </c>
    </row>
    <row r="38" spans="1:15" ht="45">
      <c r="A38" s="182" t="s">
        <v>118</v>
      </c>
      <c r="B38" s="174">
        <v>24</v>
      </c>
      <c r="C38" s="175">
        <v>95578</v>
      </c>
      <c r="D38" s="176" t="s">
        <v>511</v>
      </c>
      <c r="E38" s="176" t="s">
        <v>511</v>
      </c>
      <c r="F38" s="176" t="s">
        <v>511</v>
      </c>
      <c r="G38" s="176" t="s">
        <v>511</v>
      </c>
      <c r="H38" s="175" t="s">
        <v>714</v>
      </c>
      <c r="I38" s="202">
        <v>0.6</v>
      </c>
      <c r="J38" s="184">
        <v>12400</v>
      </c>
      <c r="K38" s="175" t="s">
        <v>716</v>
      </c>
      <c r="L38" s="176" t="s">
        <v>511</v>
      </c>
      <c r="M38" s="179" t="s">
        <v>511</v>
      </c>
      <c r="N38" s="179" t="s">
        <v>511</v>
      </c>
      <c r="O38" s="190" t="s">
        <v>717</v>
      </c>
    </row>
    <row r="39" spans="1:15" ht="15">
      <c r="A39" s="182" t="s">
        <v>121</v>
      </c>
      <c r="B39" s="194">
        <v>3500</v>
      </c>
      <c r="C39" s="175">
        <v>88755</v>
      </c>
      <c r="D39" s="176" t="s">
        <v>511</v>
      </c>
      <c r="E39" s="176" t="s">
        <v>511</v>
      </c>
      <c r="F39" s="176" t="s">
        <v>511</v>
      </c>
      <c r="G39" s="176" t="s">
        <v>511</v>
      </c>
      <c r="H39" s="176" t="s">
        <v>511</v>
      </c>
      <c r="I39" s="177" t="s">
        <v>511</v>
      </c>
      <c r="J39" s="176" t="s">
        <v>511</v>
      </c>
      <c r="K39" s="176" t="s">
        <v>511</v>
      </c>
      <c r="L39" s="176" t="s">
        <v>511</v>
      </c>
      <c r="M39" s="178">
        <v>16000</v>
      </c>
      <c r="N39" s="179">
        <f>M39/10</f>
        <v>1600</v>
      </c>
      <c r="O39" s="180" t="s">
        <v>511</v>
      </c>
    </row>
    <row r="40" spans="1:15" ht="15">
      <c r="A40" s="182" t="s">
        <v>123</v>
      </c>
      <c r="B40" s="174">
        <v>1.5</v>
      </c>
      <c r="C40" s="175">
        <v>101553</v>
      </c>
      <c r="D40" s="176" t="s">
        <v>511</v>
      </c>
      <c r="E40" s="176" t="s">
        <v>511</v>
      </c>
      <c r="F40" s="176" t="s">
        <v>511</v>
      </c>
      <c r="G40" s="176" t="s">
        <v>511</v>
      </c>
      <c r="H40" s="175" t="s">
        <v>714</v>
      </c>
      <c r="I40" s="183" t="s">
        <v>409</v>
      </c>
      <c r="J40" s="184">
        <f>K40*10</f>
        <v>1220</v>
      </c>
      <c r="K40" s="175">
        <v>122</v>
      </c>
      <c r="L40" s="198" t="s">
        <v>409</v>
      </c>
      <c r="M40" s="203" t="s">
        <v>511</v>
      </c>
      <c r="N40" s="203" t="s">
        <v>511</v>
      </c>
      <c r="O40" s="180" t="s">
        <v>511</v>
      </c>
    </row>
    <row r="41" spans="1:15" ht="15">
      <c r="A41" s="182" t="s">
        <v>126</v>
      </c>
      <c r="B41" s="195">
        <v>60</v>
      </c>
      <c r="C41" s="195" t="s">
        <v>511</v>
      </c>
      <c r="D41" s="195" t="s">
        <v>511</v>
      </c>
      <c r="E41" s="195" t="s">
        <v>511</v>
      </c>
      <c r="F41" s="195" t="s">
        <v>511</v>
      </c>
      <c r="G41" s="195" t="s">
        <v>511</v>
      </c>
      <c r="H41" s="195" t="s">
        <v>511</v>
      </c>
      <c r="I41" s="195" t="s">
        <v>511</v>
      </c>
      <c r="J41" s="195" t="s">
        <v>511</v>
      </c>
      <c r="K41" s="195" t="s">
        <v>511</v>
      </c>
      <c r="L41" s="195" t="s">
        <v>511</v>
      </c>
      <c r="M41" s="196">
        <v>43906.22</v>
      </c>
      <c r="N41" s="196">
        <f>M41/10</f>
        <v>4390.622</v>
      </c>
      <c r="O41" s="197" t="s">
        <v>511</v>
      </c>
    </row>
    <row r="42" spans="1:15" ht="15">
      <c r="A42" s="182" t="s">
        <v>127</v>
      </c>
      <c r="B42" s="174">
        <v>38</v>
      </c>
      <c r="C42" s="175">
        <v>83329</v>
      </c>
      <c r="D42" s="176" t="s">
        <v>511</v>
      </c>
      <c r="E42" s="176" t="s">
        <v>511</v>
      </c>
      <c r="F42" s="176" t="s">
        <v>511</v>
      </c>
      <c r="G42" s="176" t="s">
        <v>511</v>
      </c>
      <c r="H42" s="176" t="s">
        <v>511</v>
      </c>
      <c r="I42" s="177" t="s">
        <v>511</v>
      </c>
      <c r="J42" s="176" t="s">
        <v>511</v>
      </c>
      <c r="K42" s="176" t="s">
        <v>511</v>
      </c>
      <c r="L42" s="176" t="s">
        <v>511</v>
      </c>
      <c r="M42" s="193">
        <v>1189.48</v>
      </c>
      <c r="N42" s="193">
        <f>M42/10</f>
        <v>118.94800000000001</v>
      </c>
      <c r="O42" s="180" t="s">
        <v>511</v>
      </c>
    </row>
    <row r="43" spans="1:15" ht="15">
      <c r="A43" s="182" t="s">
        <v>129</v>
      </c>
      <c r="B43" s="174">
        <v>2.1</v>
      </c>
      <c r="C43" s="175">
        <v>107028</v>
      </c>
      <c r="D43" s="176" t="s">
        <v>511</v>
      </c>
      <c r="E43" s="176" t="s">
        <v>511</v>
      </c>
      <c r="F43" s="176" t="s">
        <v>511</v>
      </c>
      <c r="G43" s="176" t="s">
        <v>511</v>
      </c>
      <c r="H43" s="175" t="s">
        <v>714</v>
      </c>
      <c r="I43" s="183" t="s">
        <v>409</v>
      </c>
      <c r="J43" s="175">
        <f>K43*10</f>
        <v>210</v>
      </c>
      <c r="K43" s="175">
        <v>21</v>
      </c>
      <c r="L43" s="198" t="s">
        <v>409</v>
      </c>
      <c r="M43" s="203" t="s">
        <v>511</v>
      </c>
      <c r="N43" s="203" t="s">
        <v>511</v>
      </c>
      <c r="O43" s="180" t="s">
        <v>511</v>
      </c>
    </row>
    <row r="44" spans="1:15" ht="15">
      <c r="A44" s="182" t="s">
        <v>130</v>
      </c>
      <c r="B44" s="195">
        <v>66</v>
      </c>
      <c r="C44" s="175">
        <v>107131</v>
      </c>
      <c r="D44" s="176" t="s">
        <v>511</v>
      </c>
      <c r="E44" s="176" t="s">
        <v>511</v>
      </c>
      <c r="F44" s="176" t="s">
        <v>511</v>
      </c>
      <c r="G44" s="176" t="s">
        <v>511</v>
      </c>
      <c r="H44" s="175" t="s">
        <v>714</v>
      </c>
      <c r="I44" s="183" t="s">
        <v>718</v>
      </c>
      <c r="J44" s="184">
        <v>13800</v>
      </c>
      <c r="K44" s="184">
        <f>J44/10</f>
        <v>1380</v>
      </c>
      <c r="L44" s="198" t="s">
        <v>409</v>
      </c>
      <c r="M44" s="203" t="s">
        <v>511</v>
      </c>
      <c r="N44" s="203" t="s">
        <v>511</v>
      </c>
      <c r="O44" s="180" t="s">
        <v>511</v>
      </c>
    </row>
    <row r="45" spans="1:15" ht="45">
      <c r="A45" s="182" t="s">
        <v>133</v>
      </c>
      <c r="B45" s="174">
        <v>3</v>
      </c>
      <c r="C45" s="175">
        <v>309002</v>
      </c>
      <c r="D45" s="176" t="s">
        <v>511</v>
      </c>
      <c r="E45" s="176" t="s">
        <v>511</v>
      </c>
      <c r="F45" s="176" t="s">
        <v>511</v>
      </c>
      <c r="G45" s="176" t="s">
        <v>511</v>
      </c>
      <c r="H45" s="204" t="s">
        <v>719</v>
      </c>
      <c r="I45" s="183" t="s">
        <v>720</v>
      </c>
      <c r="J45" s="175">
        <v>34</v>
      </c>
      <c r="K45" s="175">
        <f>J45/10</f>
        <v>3.4</v>
      </c>
      <c r="L45" s="198" t="s">
        <v>409</v>
      </c>
      <c r="M45" s="203" t="s">
        <v>511</v>
      </c>
      <c r="N45" s="203" t="s">
        <v>511</v>
      </c>
      <c r="O45" s="180" t="s">
        <v>511</v>
      </c>
    </row>
    <row r="46" spans="1:15" ht="45">
      <c r="A46" s="182" t="s">
        <v>140</v>
      </c>
      <c r="B46" s="174">
        <v>0.475</v>
      </c>
      <c r="C46" s="175">
        <v>7664417</v>
      </c>
      <c r="D46" s="175" t="s">
        <v>691</v>
      </c>
      <c r="E46" s="175">
        <v>16.9</v>
      </c>
      <c r="F46" s="175">
        <f>E46/10</f>
        <v>1.69</v>
      </c>
      <c r="G46" s="175">
        <v>1.17</v>
      </c>
      <c r="H46" s="175" t="s">
        <v>721</v>
      </c>
      <c r="I46" s="183" t="s">
        <v>722</v>
      </c>
      <c r="J46" s="175">
        <v>43.55</v>
      </c>
      <c r="K46" s="205">
        <f>J46/10</f>
        <v>4.3549999999999995</v>
      </c>
      <c r="L46" s="175"/>
      <c r="M46" s="189">
        <v>6955.57</v>
      </c>
      <c r="N46" s="189">
        <f>M46/10</f>
        <v>695.557</v>
      </c>
      <c r="O46" s="190" t="s">
        <v>723</v>
      </c>
    </row>
    <row r="47" spans="1:15" ht="15">
      <c r="A47" s="182" t="s">
        <v>143</v>
      </c>
      <c r="B47" s="174">
        <v>240</v>
      </c>
      <c r="C47" s="175">
        <v>7440360</v>
      </c>
      <c r="D47" s="176" t="s">
        <v>511</v>
      </c>
      <c r="E47" s="176" t="s">
        <v>511</v>
      </c>
      <c r="F47" s="176" t="s">
        <v>511</v>
      </c>
      <c r="G47" s="176" t="s">
        <v>511</v>
      </c>
      <c r="H47" s="175" t="s">
        <v>724</v>
      </c>
      <c r="I47" s="175" t="s">
        <v>409</v>
      </c>
      <c r="J47" s="184">
        <v>21900</v>
      </c>
      <c r="K47" s="184">
        <v>1600</v>
      </c>
      <c r="L47" s="175">
        <v>14</v>
      </c>
      <c r="M47" s="179" t="s">
        <v>511</v>
      </c>
      <c r="N47" s="188">
        <v>2273.18</v>
      </c>
      <c r="O47" s="190" t="s">
        <v>725</v>
      </c>
    </row>
    <row r="48" spans="1:15" ht="15">
      <c r="A48" s="182" t="s">
        <v>146</v>
      </c>
      <c r="B48" s="174">
        <v>0.053</v>
      </c>
      <c r="C48" s="195" t="s">
        <v>511</v>
      </c>
      <c r="D48" s="195" t="s">
        <v>511</v>
      </c>
      <c r="E48" s="195" t="s">
        <v>511</v>
      </c>
      <c r="F48" s="195" t="s">
        <v>511</v>
      </c>
      <c r="G48" s="195" t="s">
        <v>511</v>
      </c>
      <c r="H48" s="195" t="s">
        <v>511</v>
      </c>
      <c r="I48" s="195" t="s">
        <v>511</v>
      </c>
      <c r="J48" s="195" t="s">
        <v>511</v>
      </c>
      <c r="K48" s="195" t="s">
        <v>511</v>
      </c>
      <c r="L48" s="195" t="s">
        <v>511</v>
      </c>
      <c r="M48" s="206">
        <v>59.25</v>
      </c>
      <c r="N48" s="206">
        <f>M48/10</f>
        <v>5.925</v>
      </c>
      <c r="O48" s="197" t="s">
        <v>511</v>
      </c>
    </row>
    <row r="49" spans="1:15" ht="15">
      <c r="A49" s="182" t="s">
        <v>148</v>
      </c>
      <c r="B49" s="174">
        <v>0.033</v>
      </c>
      <c r="C49" s="195" t="s">
        <v>511</v>
      </c>
      <c r="D49" s="195" t="s">
        <v>511</v>
      </c>
      <c r="E49" s="195" t="s">
        <v>511</v>
      </c>
      <c r="F49" s="195" t="s">
        <v>511</v>
      </c>
      <c r="G49" s="195" t="s">
        <v>511</v>
      </c>
      <c r="H49" s="195" t="s">
        <v>511</v>
      </c>
      <c r="I49" s="195" t="s">
        <v>511</v>
      </c>
      <c r="J49" s="195" t="s">
        <v>511</v>
      </c>
      <c r="K49" s="195" t="s">
        <v>511</v>
      </c>
      <c r="L49" s="195" t="s">
        <v>511</v>
      </c>
      <c r="M49" s="206">
        <v>15.94</v>
      </c>
      <c r="N49" s="206">
        <f>M49/10</f>
        <v>1.5939999999999999</v>
      </c>
      <c r="O49" s="197" t="s">
        <v>511</v>
      </c>
    </row>
    <row r="50" spans="1:15" ht="15">
      <c r="A50" s="182" t="s">
        <v>152</v>
      </c>
      <c r="B50" s="174">
        <v>7.3</v>
      </c>
      <c r="C50" s="176" t="s">
        <v>511</v>
      </c>
      <c r="D50" s="176" t="s">
        <v>511</v>
      </c>
      <c r="E50" s="176" t="s">
        <v>511</v>
      </c>
      <c r="F50" s="176" t="s">
        <v>511</v>
      </c>
      <c r="G50" s="176" t="s">
        <v>511</v>
      </c>
      <c r="H50" s="175" t="s">
        <v>726</v>
      </c>
      <c r="I50" s="198" t="s">
        <v>409</v>
      </c>
      <c r="J50" s="184">
        <v>20000</v>
      </c>
      <c r="K50" s="175">
        <v>339.1</v>
      </c>
      <c r="L50" s="175">
        <v>58.98</v>
      </c>
      <c r="M50" s="179" t="s">
        <v>511</v>
      </c>
      <c r="N50" s="179" t="s">
        <v>511</v>
      </c>
      <c r="O50" s="190" t="s">
        <v>727</v>
      </c>
    </row>
    <row r="51" spans="1:15" ht="15">
      <c r="A51" s="182" t="s">
        <v>170</v>
      </c>
      <c r="B51" s="174">
        <v>0.1</v>
      </c>
      <c r="C51" s="175">
        <v>92875</v>
      </c>
      <c r="D51" s="176" t="s">
        <v>511</v>
      </c>
      <c r="E51" s="176" t="s">
        <v>511</v>
      </c>
      <c r="F51" s="176" t="s">
        <v>511</v>
      </c>
      <c r="G51" s="176" t="s">
        <v>511</v>
      </c>
      <c r="H51" s="176" t="s">
        <v>511</v>
      </c>
      <c r="I51" s="297" t="s">
        <v>728</v>
      </c>
      <c r="J51" s="297"/>
      <c r="K51" s="297"/>
      <c r="L51" s="297"/>
      <c r="M51" s="207" t="s">
        <v>511</v>
      </c>
      <c r="N51" s="207" t="s">
        <v>511</v>
      </c>
      <c r="O51" s="180" t="s">
        <v>511</v>
      </c>
    </row>
    <row r="52" spans="1:15" ht="15">
      <c r="A52" s="182" t="s">
        <v>539</v>
      </c>
      <c r="B52" s="187">
        <v>0.36</v>
      </c>
      <c r="C52" s="175">
        <v>7440439</v>
      </c>
      <c r="D52" s="208" t="s">
        <v>511</v>
      </c>
      <c r="E52" s="208" t="s">
        <v>511</v>
      </c>
      <c r="F52" s="208" t="s">
        <v>511</v>
      </c>
      <c r="G52" s="208" t="s">
        <v>511</v>
      </c>
      <c r="H52" s="175" t="s">
        <v>729</v>
      </c>
      <c r="I52" s="183" t="s">
        <v>730</v>
      </c>
      <c r="J52" s="175">
        <v>29.21</v>
      </c>
      <c r="K52" s="175">
        <v>16.38</v>
      </c>
      <c r="L52" s="175">
        <v>13.13</v>
      </c>
      <c r="M52" s="179" t="s">
        <v>511</v>
      </c>
      <c r="N52" s="179" t="s">
        <v>511</v>
      </c>
      <c r="O52" s="180" t="s">
        <v>511</v>
      </c>
    </row>
    <row r="53" spans="1:15" ht="15">
      <c r="A53" s="182" t="s">
        <v>541</v>
      </c>
      <c r="B53" s="174">
        <v>0.41</v>
      </c>
      <c r="C53" s="195" t="s">
        <v>511</v>
      </c>
      <c r="D53" s="195" t="s">
        <v>511</v>
      </c>
      <c r="E53" s="195" t="s">
        <v>511</v>
      </c>
      <c r="F53" s="195" t="s">
        <v>511</v>
      </c>
      <c r="G53" s="195" t="s">
        <v>511</v>
      </c>
      <c r="H53" s="195" t="s">
        <v>511</v>
      </c>
      <c r="I53" s="195" t="s">
        <v>511</v>
      </c>
      <c r="J53" s="195" t="s">
        <v>511</v>
      </c>
      <c r="K53" s="195" t="s">
        <v>511</v>
      </c>
      <c r="L53" s="195" t="s">
        <v>511</v>
      </c>
      <c r="M53" s="206">
        <v>7.68</v>
      </c>
      <c r="N53" s="209">
        <f>M53/10</f>
        <v>0.768</v>
      </c>
      <c r="O53" s="197" t="s">
        <v>511</v>
      </c>
    </row>
    <row r="54" spans="1:15" ht="30">
      <c r="A54" s="210" t="s">
        <v>177</v>
      </c>
      <c r="B54" s="175">
        <v>89</v>
      </c>
      <c r="C54" s="175">
        <v>56235</v>
      </c>
      <c r="D54" s="176" t="s">
        <v>511</v>
      </c>
      <c r="E54" s="176" t="s">
        <v>511</v>
      </c>
      <c r="F54" s="176" t="s">
        <v>511</v>
      </c>
      <c r="G54" s="176" t="s">
        <v>511</v>
      </c>
      <c r="H54" s="175" t="s">
        <v>731</v>
      </c>
      <c r="I54" s="183" t="s">
        <v>732</v>
      </c>
      <c r="J54" s="184">
        <v>43100</v>
      </c>
      <c r="K54" s="175" t="s">
        <v>733</v>
      </c>
      <c r="L54" s="195" t="s">
        <v>511</v>
      </c>
      <c r="M54" s="206" t="s">
        <v>511</v>
      </c>
      <c r="N54" s="206" t="s">
        <v>511</v>
      </c>
      <c r="O54" s="190" t="s">
        <v>717</v>
      </c>
    </row>
    <row r="55" spans="1:15" ht="15">
      <c r="A55" s="182" t="s">
        <v>544</v>
      </c>
      <c r="B55" s="174">
        <v>0.0043</v>
      </c>
      <c r="C55" s="175">
        <v>57749</v>
      </c>
      <c r="D55" s="176" t="s">
        <v>511</v>
      </c>
      <c r="E55" s="176" t="s">
        <v>511</v>
      </c>
      <c r="F55" s="176" t="s">
        <v>511</v>
      </c>
      <c r="G55" s="176" t="s">
        <v>511</v>
      </c>
      <c r="H55" s="175" t="s">
        <v>734</v>
      </c>
      <c r="I55" s="183" t="s">
        <v>735</v>
      </c>
      <c r="J55" s="175">
        <v>37</v>
      </c>
      <c r="K55" s="174">
        <f>J55/10</f>
        <v>3.7</v>
      </c>
      <c r="L55" s="198" t="s">
        <v>409</v>
      </c>
      <c r="M55" s="211">
        <v>36.9</v>
      </c>
      <c r="N55" s="211">
        <f>M55/10</f>
        <v>3.69</v>
      </c>
      <c r="O55" s="180" t="s">
        <v>511</v>
      </c>
    </row>
    <row r="56" spans="1:15" ht="15">
      <c r="A56" s="173" t="s">
        <v>546</v>
      </c>
      <c r="B56" s="194">
        <v>230000</v>
      </c>
      <c r="C56" s="175">
        <v>16887006</v>
      </c>
      <c r="D56" s="176" t="s">
        <v>511</v>
      </c>
      <c r="E56" s="176" t="s">
        <v>511</v>
      </c>
      <c r="F56" s="176" t="s">
        <v>511</v>
      </c>
      <c r="G56" s="176" t="s">
        <v>511</v>
      </c>
      <c r="H56" s="175" t="s">
        <v>511</v>
      </c>
      <c r="I56" s="183" t="s">
        <v>409</v>
      </c>
      <c r="J56" s="183" t="s">
        <v>736</v>
      </c>
      <c r="K56" s="184">
        <v>433100</v>
      </c>
      <c r="L56" s="175">
        <v>15.17</v>
      </c>
      <c r="M56" s="179" t="s">
        <v>511</v>
      </c>
      <c r="N56" s="179" t="s">
        <v>511</v>
      </c>
      <c r="O56" s="190" t="s">
        <v>737</v>
      </c>
    </row>
    <row r="57" spans="1:15" ht="30">
      <c r="A57" s="182" t="s">
        <v>549</v>
      </c>
      <c r="B57" s="174">
        <v>47</v>
      </c>
      <c r="C57" s="175">
        <v>108907</v>
      </c>
      <c r="D57" s="176" t="s">
        <v>511</v>
      </c>
      <c r="E57" s="176" t="s">
        <v>511</v>
      </c>
      <c r="F57" s="176" t="s">
        <v>511</v>
      </c>
      <c r="G57" s="176" t="s">
        <v>511</v>
      </c>
      <c r="H57" s="175" t="s">
        <v>738</v>
      </c>
      <c r="I57" s="183" t="s">
        <v>739</v>
      </c>
      <c r="J57" s="184">
        <v>32200</v>
      </c>
      <c r="K57" s="175" t="s">
        <v>740</v>
      </c>
      <c r="L57" s="175" t="s">
        <v>741</v>
      </c>
      <c r="M57" s="188">
        <v>22931.09</v>
      </c>
      <c r="N57" s="188">
        <f>M57/10</f>
        <v>2293.109</v>
      </c>
      <c r="O57" s="190" t="s">
        <v>742</v>
      </c>
    </row>
    <row r="58" spans="1:15" ht="15">
      <c r="A58" s="200" t="s">
        <v>551</v>
      </c>
      <c r="B58" s="174">
        <v>170</v>
      </c>
      <c r="C58" s="175">
        <v>67663</v>
      </c>
      <c r="D58" s="176" t="s">
        <v>511</v>
      </c>
      <c r="E58" s="176" t="s">
        <v>511</v>
      </c>
      <c r="F58" s="176" t="s">
        <v>511</v>
      </c>
      <c r="G58" s="176" t="s">
        <v>511</v>
      </c>
      <c r="H58" s="176" t="s">
        <v>511</v>
      </c>
      <c r="I58" s="297" t="s">
        <v>743</v>
      </c>
      <c r="J58" s="297"/>
      <c r="K58" s="297"/>
      <c r="L58" s="297"/>
      <c r="M58" s="207" t="s">
        <v>511</v>
      </c>
      <c r="N58" s="207" t="s">
        <v>511</v>
      </c>
      <c r="O58" s="180" t="s">
        <v>511</v>
      </c>
    </row>
    <row r="59" spans="1:15" ht="15">
      <c r="A59" s="182" t="s">
        <v>556</v>
      </c>
      <c r="B59" s="191">
        <v>136.29</v>
      </c>
      <c r="C59" s="195" t="s">
        <v>511</v>
      </c>
      <c r="D59" s="195" t="s">
        <v>511</v>
      </c>
      <c r="E59" s="195" t="s">
        <v>511</v>
      </c>
      <c r="F59" s="195" t="s">
        <v>511</v>
      </c>
      <c r="G59" s="195" t="s">
        <v>511</v>
      </c>
      <c r="H59" s="195" t="s">
        <v>511</v>
      </c>
      <c r="I59" s="195" t="s">
        <v>511</v>
      </c>
      <c r="J59" s="195" t="s">
        <v>511</v>
      </c>
      <c r="K59" s="195" t="s">
        <v>511</v>
      </c>
      <c r="L59" s="195" t="s">
        <v>511</v>
      </c>
      <c r="M59" s="188">
        <v>42178.38</v>
      </c>
      <c r="N59" s="184">
        <v>6000</v>
      </c>
      <c r="O59" s="180" t="s">
        <v>511</v>
      </c>
    </row>
    <row r="60" spans="1:15" ht="15">
      <c r="A60" s="182" t="s">
        <v>189</v>
      </c>
      <c r="B60" s="209">
        <v>59.68336686281603</v>
      </c>
      <c r="C60" s="175">
        <v>16065831</v>
      </c>
      <c r="D60" s="176" t="s">
        <v>511</v>
      </c>
      <c r="E60" s="176" t="s">
        <v>511</v>
      </c>
      <c r="F60" s="176" t="s">
        <v>511</v>
      </c>
      <c r="G60" s="176" t="s">
        <v>511</v>
      </c>
      <c r="H60" s="175" t="s">
        <v>744</v>
      </c>
      <c r="I60" s="183" t="s">
        <v>745</v>
      </c>
      <c r="J60" s="184">
        <v>10320</v>
      </c>
      <c r="K60" s="187">
        <f>J60/L60</f>
        <v>378.021978021978</v>
      </c>
      <c r="L60" s="175">
        <v>27.3</v>
      </c>
      <c r="M60" s="179" t="s">
        <v>511</v>
      </c>
      <c r="N60" s="179" t="s">
        <v>511</v>
      </c>
      <c r="O60" s="190" t="s">
        <v>746</v>
      </c>
    </row>
    <row r="61" spans="1:15" ht="15">
      <c r="A61" s="182" t="s">
        <v>188</v>
      </c>
      <c r="B61" s="191">
        <v>11.2</v>
      </c>
      <c r="C61" s="175">
        <v>18540299</v>
      </c>
      <c r="D61" s="176" t="s">
        <v>511</v>
      </c>
      <c r="E61" s="176" t="s">
        <v>511</v>
      </c>
      <c r="F61" s="176" t="s">
        <v>511</v>
      </c>
      <c r="G61" s="176" t="s">
        <v>511</v>
      </c>
      <c r="H61" s="175" t="s">
        <v>706</v>
      </c>
      <c r="I61" s="183" t="s">
        <v>747</v>
      </c>
      <c r="J61" s="184">
        <v>41050</v>
      </c>
      <c r="K61" s="188">
        <f>J61/L61</f>
        <v>2212.9380053908353</v>
      </c>
      <c r="L61" s="175">
        <v>18.55</v>
      </c>
      <c r="M61" s="179" t="s">
        <v>511</v>
      </c>
      <c r="N61" s="179" t="s">
        <v>511</v>
      </c>
      <c r="O61" s="180" t="s">
        <v>511</v>
      </c>
    </row>
    <row r="62" spans="1:15" ht="15">
      <c r="A62" s="182" t="s">
        <v>558</v>
      </c>
      <c r="B62" s="174">
        <v>100</v>
      </c>
      <c r="C62" s="195" t="s">
        <v>511</v>
      </c>
      <c r="D62" s="195" t="s">
        <v>511</v>
      </c>
      <c r="E62" s="195" t="s">
        <v>511</v>
      </c>
      <c r="F62" s="195" t="s">
        <v>511</v>
      </c>
      <c r="G62" s="195" t="s">
        <v>511</v>
      </c>
      <c r="H62" s="195" t="s">
        <v>511</v>
      </c>
      <c r="I62" s="195" t="s">
        <v>511</v>
      </c>
      <c r="J62" s="195" t="s">
        <v>511</v>
      </c>
      <c r="K62" s="195" t="s">
        <v>511</v>
      </c>
      <c r="L62" s="195" t="s">
        <v>511</v>
      </c>
      <c r="M62" s="184">
        <v>4745</v>
      </c>
      <c r="N62" s="206">
        <v>919.71</v>
      </c>
      <c r="O62" s="197" t="s">
        <v>511</v>
      </c>
    </row>
    <row r="63" spans="1:15" ht="15">
      <c r="A63" s="182" t="s">
        <v>564</v>
      </c>
      <c r="B63" s="174">
        <v>5.2</v>
      </c>
      <c r="C63" s="175">
        <v>57125</v>
      </c>
      <c r="D63" s="176" t="s">
        <v>511</v>
      </c>
      <c r="E63" s="176" t="s">
        <v>511</v>
      </c>
      <c r="F63" s="176" t="s">
        <v>511</v>
      </c>
      <c r="G63" s="176" t="s">
        <v>511</v>
      </c>
      <c r="H63" s="176" t="s">
        <v>511</v>
      </c>
      <c r="I63" s="183" t="s">
        <v>748</v>
      </c>
      <c r="J63" s="175">
        <v>125.1</v>
      </c>
      <c r="K63" s="187">
        <f>J63/L63</f>
        <v>16.389361980872525</v>
      </c>
      <c r="L63" s="175">
        <v>7.633</v>
      </c>
      <c r="M63" s="179" t="s">
        <v>511</v>
      </c>
      <c r="N63" s="179" t="s">
        <v>511</v>
      </c>
      <c r="O63" s="190" t="s">
        <v>746</v>
      </c>
    </row>
    <row r="64" spans="1:15" ht="15">
      <c r="A64" s="182" t="s">
        <v>566</v>
      </c>
      <c r="B64" s="174">
        <v>0.0963</v>
      </c>
      <c r="C64" s="175" t="s">
        <v>511</v>
      </c>
      <c r="D64" s="176" t="s">
        <v>511</v>
      </c>
      <c r="E64" s="176" t="s">
        <v>511</v>
      </c>
      <c r="F64" s="176" t="s">
        <v>511</v>
      </c>
      <c r="G64" s="176" t="s">
        <v>511</v>
      </c>
      <c r="H64" s="175" t="s">
        <v>749</v>
      </c>
      <c r="I64" s="175" t="s">
        <v>750</v>
      </c>
      <c r="J64" s="194">
        <v>8641</v>
      </c>
      <c r="K64" s="187">
        <f>J64/L64</f>
        <v>44.01935812531839</v>
      </c>
      <c r="L64" s="175">
        <v>196.3</v>
      </c>
      <c r="M64" s="179" t="s">
        <v>511</v>
      </c>
      <c r="N64" s="179" t="s">
        <v>511</v>
      </c>
      <c r="O64" s="180" t="s">
        <v>511</v>
      </c>
    </row>
    <row r="65" spans="1:15" ht="15">
      <c r="A65" s="182" t="s">
        <v>567</v>
      </c>
      <c r="B65" s="174">
        <v>4</v>
      </c>
      <c r="C65" s="195" t="s">
        <v>511</v>
      </c>
      <c r="D65" s="195" t="s">
        <v>511</v>
      </c>
      <c r="E65" s="195" t="s">
        <v>511</v>
      </c>
      <c r="F65" s="195" t="s">
        <v>511</v>
      </c>
      <c r="G65" s="195" t="s">
        <v>511</v>
      </c>
      <c r="H65" s="195" t="s">
        <v>511</v>
      </c>
      <c r="I65" s="195" t="s">
        <v>511</v>
      </c>
      <c r="J65" s="195" t="s">
        <v>511</v>
      </c>
      <c r="K65" s="195" t="s">
        <v>511</v>
      </c>
      <c r="L65" s="195" t="s">
        <v>511</v>
      </c>
      <c r="M65" s="188">
        <v>1872.41</v>
      </c>
      <c r="N65" s="188">
        <f>M65/10</f>
        <v>187.241</v>
      </c>
      <c r="O65" s="197" t="s">
        <v>511</v>
      </c>
    </row>
    <row r="66" spans="1:15" ht="45">
      <c r="A66" s="182" t="s">
        <v>569</v>
      </c>
      <c r="B66" s="174">
        <v>0.056</v>
      </c>
      <c r="C66" s="175">
        <v>60571</v>
      </c>
      <c r="D66" s="176" t="s">
        <v>511</v>
      </c>
      <c r="E66" s="176" t="s">
        <v>511</v>
      </c>
      <c r="F66" s="176" t="s">
        <v>511</v>
      </c>
      <c r="G66" s="176" t="s">
        <v>511</v>
      </c>
      <c r="H66" s="204" t="s">
        <v>751</v>
      </c>
      <c r="I66" s="183" t="s">
        <v>752</v>
      </c>
      <c r="J66" s="175">
        <v>22</v>
      </c>
      <c r="K66" s="175">
        <f>J66/10</f>
        <v>2.2</v>
      </c>
      <c r="L66" s="198" t="s">
        <v>409</v>
      </c>
      <c r="M66" s="203" t="s">
        <v>511</v>
      </c>
      <c r="N66" s="203" t="s">
        <v>511</v>
      </c>
      <c r="O66" s="180" t="s">
        <v>511</v>
      </c>
    </row>
    <row r="67" spans="1:15" ht="15">
      <c r="A67" s="182" t="s">
        <v>575</v>
      </c>
      <c r="B67" s="174">
        <v>0.48</v>
      </c>
      <c r="C67" s="195" t="s">
        <v>511</v>
      </c>
      <c r="D67" s="195" t="s">
        <v>511</v>
      </c>
      <c r="E67" s="195" t="s">
        <v>511</v>
      </c>
      <c r="F67" s="195" t="s">
        <v>511</v>
      </c>
      <c r="G67" s="195" t="s">
        <v>511</v>
      </c>
      <c r="H67" s="195" t="s">
        <v>511</v>
      </c>
      <c r="I67" s="195" t="s">
        <v>511</v>
      </c>
      <c r="J67" s="195" t="s">
        <v>511</v>
      </c>
      <c r="K67" s="195" t="s">
        <v>511</v>
      </c>
      <c r="L67" s="195" t="s">
        <v>511</v>
      </c>
      <c r="M67" s="206">
        <v>201.02</v>
      </c>
      <c r="N67" s="206">
        <f>M67/10</f>
        <v>20.102</v>
      </c>
      <c r="O67" s="197" t="s">
        <v>511</v>
      </c>
    </row>
    <row r="68" spans="1:15" ht="15">
      <c r="A68" s="182" t="s">
        <v>576</v>
      </c>
      <c r="B68" s="174">
        <v>0.036</v>
      </c>
      <c r="C68" s="175">
        <v>72208</v>
      </c>
      <c r="D68" s="176" t="s">
        <v>511</v>
      </c>
      <c r="E68" s="176" t="s">
        <v>511</v>
      </c>
      <c r="F68" s="176" t="s">
        <v>511</v>
      </c>
      <c r="G68" s="176" t="s">
        <v>511</v>
      </c>
      <c r="H68" s="175" t="s">
        <v>753</v>
      </c>
      <c r="I68" s="183" t="s">
        <v>754</v>
      </c>
      <c r="J68" s="175">
        <v>0.49</v>
      </c>
      <c r="K68" s="175">
        <f>J68/10</f>
        <v>0.049</v>
      </c>
      <c r="L68" s="198" t="s">
        <v>409</v>
      </c>
      <c r="M68" s="203" t="s">
        <v>511</v>
      </c>
      <c r="N68" s="203" t="s">
        <v>511</v>
      </c>
      <c r="O68" s="190" t="s">
        <v>746</v>
      </c>
    </row>
    <row r="69" spans="1:15" ht="15">
      <c r="A69" s="182" t="s">
        <v>577</v>
      </c>
      <c r="B69" s="174">
        <v>18</v>
      </c>
      <c r="C69" s="175">
        <v>100414</v>
      </c>
      <c r="D69" s="176" t="s">
        <v>511</v>
      </c>
      <c r="E69" s="176" t="s">
        <v>511</v>
      </c>
      <c r="F69" s="176" t="s">
        <v>511</v>
      </c>
      <c r="G69" s="176" t="s">
        <v>511</v>
      </c>
      <c r="H69" s="175" t="s">
        <v>511</v>
      </c>
      <c r="I69" s="183" t="s">
        <v>511</v>
      </c>
      <c r="J69" s="175" t="s">
        <v>511</v>
      </c>
      <c r="K69" s="175" t="s">
        <v>511</v>
      </c>
      <c r="L69" s="175" t="s">
        <v>511</v>
      </c>
      <c r="M69" s="188">
        <v>17037.38</v>
      </c>
      <c r="N69" s="188">
        <f>M69/10</f>
        <v>1703.738</v>
      </c>
      <c r="O69" s="180" t="s">
        <v>511</v>
      </c>
    </row>
    <row r="70" spans="1:15" ht="15">
      <c r="A70" s="182" t="s">
        <v>578</v>
      </c>
      <c r="B70" s="174">
        <v>1.6</v>
      </c>
      <c r="C70" s="175">
        <v>206440</v>
      </c>
      <c r="D70" s="176" t="s">
        <v>511</v>
      </c>
      <c r="E70" s="176" t="s">
        <v>511</v>
      </c>
      <c r="F70" s="176" t="s">
        <v>511</v>
      </c>
      <c r="G70" s="176" t="s">
        <v>511</v>
      </c>
      <c r="H70" s="175" t="s">
        <v>511</v>
      </c>
      <c r="I70" s="183" t="s">
        <v>511</v>
      </c>
      <c r="J70" s="175" t="s">
        <v>511</v>
      </c>
      <c r="K70" s="175" t="s">
        <v>511</v>
      </c>
      <c r="L70" s="175" t="s">
        <v>511</v>
      </c>
      <c r="M70" s="189">
        <v>30.98</v>
      </c>
      <c r="N70" s="189">
        <v>6.3</v>
      </c>
      <c r="O70" s="180" t="s">
        <v>511</v>
      </c>
    </row>
    <row r="71" spans="1:15" ht="15">
      <c r="A71" s="182" t="s">
        <v>581</v>
      </c>
      <c r="B71" s="174">
        <v>0.0038</v>
      </c>
      <c r="C71" s="175">
        <v>76448</v>
      </c>
      <c r="D71" s="176" t="s">
        <v>511</v>
      </c>
      <c r="E71" s="176" t="s">
        <v>511</v>
      </c>
      <c r="F71" s="176" t="s">
        <v>511</v>
      </c>
      <c r="G71" s="176" t="s">
        <v>511</v>
      </c>
      <c r="H71" s="175" t="s">
        <v>755</v>
      </c>
      <c r="I71" s="183" t="s">
        <v>756</v>
      </c>
      <c r="J71" s="175">
        <v>101</v>
      </c>
      <c r="K71" s="175">
        <v>1.26</v>
      </c>
      <c r="L71" s="175">
        <v>80</v>
      </c>
      <c r="M71" s="179" t="s">
        <v>511</v>
      </c>
      <c r="N71" s="179" t="s">
        <v>511</v>
      </c>
      <c r="O71" s="180" t="s">
        <v>511</v>
      </c>
    </row>
    <row r="72" spans="1:15" ht="15">
      <c r="A72" s="182" t="s">
        <v>583</v>
      </c>
      <c r="B72" s="174">
        <v>1</v>
      </c>
      <c r="C72" s="175">
        <v>87683</v>
      </c>
      <c r="D72" s="176" t="s">
        <v>511</v>
      </c>
      <c r="E72" s="176" t="s">
        <v>511</v>
      </c>
      <c r="F72" s="176" t="s">
        <v>511</v>
      </c>
      <c r="G72" s="176" t="s">
        <v>511</v>
      </c>
      <c r="H72" s="175" t="s">
        <v>511</v>
      </c>
      <c r="I72" s="183" t="s">
        <v>511</v>
      </c>
      <c r="J72" s="175" t="s">
        <v>511</v>
      </c>
      <c r="K72" s="175" t="s">
        <v>511</v>
      </c>
      <c r="L72" s="175" t="s">
        <v>511</v>
      </c>
      <c r="M72" s="189">
        <v>94.87</v>
      </c>
      <c r="N72" s="189">
        <f>M72/10</f>
        <v>9.487</v>
      </c>
      <c r="O72" s="180" t="s">
        <v>511</v>
      </c>
    </row>
    <row r="73" spans="1:15" ht="15">
      <c r="A73" s="182" t="s">
        <v>585</v>
      </c>
      <c r="B73" s="174">
        <v>8</v>
      </c>
      <c r="C73" s="175">
        <v>67721</v>
      </c>
      <c r="D73" s="176" t="s">
        <v>511</v>
      </c>
      <c r="E73" s="176" t="s">
        <v>511</v>
      </c>
      <c r="F73" s="176" t="s">
        <v>511</v>
      </c>
      <c r="G73" s="176" t="s">
        <v>511</v>
      </c>
      <c r="H73" s="175" t="s">
        <v>409</v>
      </c>
      <c r="I73" s="183" t="s">
        <v>409</v>
      </c>
      <c r="J73" s="183" t="s">
        <v>757</v>
      </c>
      <c r="K73" s="175">
        <v>540</v>
      </c>
      <c r="L73" s="175">
        <v>2.8</v>
      </c>
      <c r="M73" s="188">
        <v>1324.26</v>
      </c>
      <c r="N73" s="189">
        <f>M73/10</f>
        <v>132.426</v>
      </c>
      <c r="O73" s="180" t="s">
        <v>511</v>
      </c>
    </row>
    <row r="74" spans="1:15" ht="15">
      <c r="A74" s="182" t="s">
        <v>587</v>
      </c>
      <c r="B74" s="194">
        <v>1300</v>
      </c>
      <c r="C74" s="175">
        <v>78591</v>
      </c>
      <c r="D74" s="176" t="s">
        <v>511</v>
      </c>
      <c r="E74" s="176" t="s">
        <v>511</v>
      </c>
      <c r="F74" s="176" t="s">
        <v>511</v>
      </c>
      <c r="G74" s="176" t="s">
        <v>511</v>
      </c>
      <c r="H74" s="175" t="s">
        <v>511</v>
      </c>
      <c r="I74" s="176" t="s">
        <v>511</v>
      </c>
      <c r="J74" s="176" t="s">
        <v>511</v>
      </c>
      <c r="K74" s="176" t="s">
        <v>511</v>
      </c>
      <c r="L74" s="176" t="s">
        <v>511</v>
      </c>
      <c r="M74" s="188">
        <v>239276.33</v>
      </c>
      <c r="N74" s="188">
        <f>M74/10</f>
        <v>23927.632999999998</v>
      </c>
      <c r="O74" s="190" t="s">
        <v>758</v>
      </c>
    </row>
    <row r="75" spans="1:15" ht="30">
      <c r="A75" s="182" t="s">
        <v>588</v>
      </c>
      <c r="B75" s="212">
        <f>(EXP(1.273*(LN(175))-4.705))*(1.46203-(LN(175)*0.145712))</f>
        <v>4.602131470900746</v>
      </c>
      <c r="C75" s="175">
        <v>7439921</v>
      </c>
      <c r="D75" s="176" t="s">
        <v>511</v>
      </c>
      <c r="E75" s="176" t="s">
        <v>511</v>
      </c>
      <c r="F75" s="176" t="s">
        <v>511</v>
      </c>
      <c r="G75" s="176" t="s">
        <v>511</v>
      </c>
      <c r="H75" s="175" t="s">
        <v>759</v>
      </c>
      <c r="I75" s="183" t="s">
        <v>760</v>
      </c>
      <c r="J75" s="184">
        <v>25440</v>
      </c>
      <c r="K75" s="175">
        <v>496</v>
      </c>
      <c r="L75" s="175">
        <v>51.29</v>
      </c>
      <c r="M75" s="179" t="s">
        <v>511</v>
      </c>
      <c r="N75" s="179" t="s">
        <v>511</v>
      </c>
      <c r="O75" s="190" t="s">
        <v>761</v>
      </c>
    </row>
    <row r="76" spans="1:15" ht="15">
      <c r="A76" s="182" t="s">
        <v>589</v>
      </c>
      <c r="B76" s="213">
        <v>6.5</v>
      </c>
      <c r="C76" s="195" t="s">
        <v>511</v>
      </c>
      <c r="D76" s="195" t="s">
        <v>511</v>
      </c>
      <c r="E76" s="195" t="s">
        <v>511</v>
      </c>
      <c r="F76" s="195" t="s">
        <v>511</v>
      </c>
      <c r="G76" s="195" t="s">
        <v>511</v>
      </c>
      <c r="H76" s="195" t="s">
        <v>511</v>
      </c>
      <c r="I76" s="195" t="s">
        <v>511</v>
      </c>
      <c r="J76" s="195" t="s">
        <v>511</v>
      </c>
      <c r="K76" s="195" t="s">
        <v>511</v>
      </c>
      <c r="L76" s="195" t="s">
        <v>511</v>
      </c>
      <c r="M76" s="188">
        <v>150927.17</v>
      </c>
      <c r="N76" s="188">
        <f>M76/10</f>
        <v>15092.717</v>
      </c>
      <c r="O76" s="197" t="s">
        <v>511</v>
      </c>
    </row>
    <row r="77" spans="1:15" ht="15">
      <c r="A77" s="182" t="s">
        <v>590</v>
      </c>
      <c r="B77" s="195">
        <v>0.08</v>
      </c>
      <c r="C77" s="175">
        <v>58899</v>
      </c>
      <c r="D77" s="176" t="s">
        <v>511</v>
      </c>
      <c r="E77" s="176" t="s">
        <v>511</v>
      </c>
      <c r="F77" s="176" t="s">
        <v>511</v>
      </c>
      <c r="G77" s="176" t="s">
        <v>511</v>
      </c>
      <c r="H77" s="175" t="s">
        <v>755</v>
      </c>
      <c r="I77" s="183" t="s">
        <v>762</v>
      </c>
      <c r="J77" s="175">
        <v>72</v>
      </c>
      <c r="K77" s="175">
        <f>J77/10</f>
        <v>7.2</v>
      </c>
      <c r="L77" s="175"/>
      <c r="M77" s="179" t="s">
        <v>511</v>
      </c>
      <c r="N77" s="179" t="s">
        <v>511</v>
      </c>
      <c r="O77" s="190" t="s">
        <v>763</v>
      </c>
    </row>
    <row r="78" spans="1:15" ht="15">
      <c r="A78" s="200" t="s">
        <v>598</v>
      </c>
      <c r="B78" s="174">
        <v>940</v>
      </c>
      <c r="C78" s="175">
        <v>75092</v>
      </c>
      <c r="D78" s="176" t="s">
        <v>511</v>
      </c>
      <c r="E78" s="176" t="s">
        <v>511</v>
      </c>
      <c r="F78" s="176" t="s">
        <v>511</v>
      </c>
      <c r="G78" s="176" t="s">
        <v>511</v>
      </c>
      <c r="H78" s="175" t="s">
        <v>764</v>
      </c>
      <c r="I78" s="183" t="s">
        <v>732</v>
      </c>
      <c r="J78" s="184">
        <v>193000</v>
      </c>
      <c r="K78" s="214">
        <f>J78/10</f>
        <v>19300</v>
      </c>
      <c r="L78" s="198" t="s">
        <v>409</v>
      </c>
      <c r="M78" s="188">
        <v>250238.64</v>
      </c>
      <c r="N78" s="188">
        <f>M78/10</f>
        <v>25023.864</v>
      </c>
      <c r="O78" s="180" t="s">
        <v>511</v>
      </c>
    </row>
    <row r="79" spans="1:15" ht="30">
      <c r="A79" s="182" t="s">
        <v>602</v>
      </c>
      <c r="B79" s="174">
        <v>13</v>
      </c>
      <c r="C79" s="175">
        <v>91203</v>
      </c>
      <c r="D79" s="176" t="s">
        <v>511</v>
      </c>
      <c r="E79" s="176" t="s">
        <v>511</v>
      </c>
      <c r="F79" s="176" t="s">
        <v>511</v>
      </c>
      <c r="G79" s="176" t="s">
        <v>511</v>
      </c>
      <c r="H79" s="175" t="s">
        <v>693</v>
      </c>
      <c r="I79" s="183" t="s">
        <v>765</v>
      </c>
      <c r="J79" s="184">
        <v>6600</v>
      </c>
      <c r="K79" s="175">
        <v>620</v>
      </c>
      <c r="L79" s="175">
        <v>11</v>
      </c>
      <c r="M79" s="188">
        <v>1613.69</v>
      </c>
      <c r="N79" s="189">
        <f>M79/10</f>
        <v>161.369</v>
      </c>
      <c r="O79" s="180" t="s">
        <v>511</v>
      </c>
    </row>
    <row r="80" spans="1:15" ht="15">
      <c r="A80" s="182" t="s">
        <v>603</v>
      </c>
      <c r="B80" s="212">
        <f>(EXP(0.846*LN(175)+0.0584))*0.997</f>
        <v>83.49647579506586</v>
      </c>
      <c r="C80" s="175">
        <v>7440020</v>
      </c>
      <c r="D80" s="176" t="s">
        <v>511</v>
      </c>
      <c r="E80" s="176" t="s">
        <v>511</v>
      </c>
      <c r="F80" s="176" t="s">
        <v>511</v>
      </c>
      <c r="G80" s="176" t="s">
        <v>511</v>
      </c>
      <c r="H80" s="175" t="s">
        <v>766</v>
      </c>
      <c r="I80" s="183" t="s">
        <v>767</v>
      </c>
      <c r="J80" s="184">
        <v>6707</v>
      </c>
      <c r="K80" s="188">
        <f>J80/L80</f>
        <v>188.50477796514897</v>
      </c>
      <c r="L80" s="175">
        <v>35.58</v>
      </c>
      <c r="M80" s="179" t="s">
        <v>511</v>
      </c>
      <c r="N80" s="179" t="s">
        <v>511</v>
      </c>
      <c r="O80" s="180" t="s">
        <v>511</v>
      </c>
    </row>
    <row r="81" spans="1:15" ht="15">
      <c r="A81" s="182" t="s">
        <v>605</v>
      </c>
      <c r="B81" s="174">
        <v>220</v>
      </c>
      <c r="C81" s="175">
        <v>98953</v>
      </c>
      <c r="D81" s="176" t="s">
        <v>511</v>
      </c>
      <c r="E81" s="176" t="s">
        <v>511</v>
      </c>
      <c r="F81" s="176" t="s">
        <v>511</v>
      </c>
      <c r="G81" s="176" t="s">
        <v>511</v>
      </c>
      <c r="H81" s="175" t="s">
        <v>511</v>
      </c>
      <c r="I81" s="183" t="s">
        <v>511</v>
      </c>
      <c r="J81" s="175" t="s">
        <v>511</v>
      </c>
      <c r="K81" s="175" t="s">
        <v>511</v>
      </c>
      <c r="L81" s="175" t="s">
        <v>511</v>
      </c>
      <c r="M81" s="188">
        <v>92454.83</v>
      </c>
      <c r="N81" s="188">
        <f>M81/10</f>
        <v>9245.483</v>
      </c>
      <c r="O81" s="180" t="s">
        <v>511</v>
      </c>
    </row>
    <row r="82" spans="1:15" ht="15">
      <c r="A82" s="182" t="s">
        <v>612</v>
      </c>
      <c r="B82" s="195">
        <v>4.95</v>
      </c>
      <c r="C82" s="175">
        <v>87865</v>
      </c>
      <c r="D82" s="176" t="s">
        <v>511</v>
      </c>
      <c r="E82" s="176" t="s">
        <v>511</v>
      </c>
      <c r="F82" s="176" t="s">
        <v>511</v>
      </c>
      <c r="G82" s="176" t="s">
        <v>511</v>
      </c>
      <c r="H82" s="175" t="s">
        <v>409</v>
      </c>
      <c r="I82" s="183" t="s">
        <v>409</v>
      </c>
      <c r="J82" s="183" t="s">
        <v>768</v>
      </c>
      <c r="K82" s="183" t="s">
        <v>769</v>
      </c>
      <c r="L82" s="183" t="s">
        <v>770</v>
      </c>
      <c r="M82" s="189">
        <v>264.17</v>
      </c>
      <c r="N82" s="189">
        <f>M82/10</f>
        <v>26.417</v>
      </c>
      <c r="O82" s="215" t="s">
        <v>771</v>
      </c>
    </row>
    <row r="83" spans="1:15" ht="15">
      <c r="A83" s="182" t="s">
        <v>618</v>
      </c>
      <c r="B83" s="174">
        <v>450</v>
      </c>
      <c r="C83" s="175">
        <v>108952</v>
      </c>
      <c r="D83" s="176" t="s">
        <v>511</v>
      </c>
      <c r="E83" s="176" t="s">
        <v>511</v>
      </c>
      <c r="F83" s="176" t="s">
        <v>511</v>
      </c>
      <c r="G83" s="176" t="s">
        <v>511</v>
      </c>
      <c r="H83" s="175" t="s">
        <v>511</v>
      </c>
      <c r="I83" s="183" t="s">
        <v>511</v>
      </c>
      <c r="J83" s="175" t="s">
        <v>511</v>
      </c>
      <c r="K83" s="175" t="s">
        <v>511</v>
      </c>
      <c r="L83" s="175" t="s">
        <v>511</v>
      </c>
      <c r="M83" s="188">
        <v>19301.19</v>
      </c>
      <c r="N83" s="189">
        <v>20</v>
      </c>
      <c r="O83" s="180" t="s">
        <v>511</v>
      </c>
    </row>
    <row r="84" spans="1:15" ht="30">
      <c r="A84" s="182" t="s">
        <v>622</v>
      </c>
      <c r="B84" s="209">
        <v>1.844</v>
      </c>
      <c r="C84" s="175">
        <v>7782492</v>
      </c>
      <c r="D84" s="176" t="s">
        <v>511</v>
      </c>
      <c r="E84" s="176" t="s">
        <v>511</v>
      </c>
      <c r="F84" s="176" t="s">
        <v>511</v>
      </c>
      <c r="G84" s="176" t="s">
        <v>511</v>
      </c>
      <c r="H84" s="175" t="s">
        <v>772</v>
      </c>
      <c r="I84" s="183" t="s">
        <v>773</v>
      </c>
      <c r="J84" s="184">
        <v>1601</v>
      </c>
      <c r="K84" s="187">
        <f>J84/L84</f>
        <v>232.66967010608923</v>
      </c>
      <c r="L84" s="175">
        <v>6.881</v>
      </c>
      <c r="M84" s="179" t="s">
        <v>511</v>
      </c>
      <c r="N84" s="179" t="s">
        <v>511</v>
      </c>
      <c r="O84" s="190" t="s">
        <v>774</v>
      </c>
    </row>
    <row r="85" spans="1:15" ht="15">
      <c r="A85" s="182" t="s">
        <v>623</v>
      </c>
      <c r="B85" s="174">
        <v>2</v>
      </c>
      <c r="C85" s="195" t="s">
        <v>511</v>
      </c>
      <c r="D85" s="195" t="s">
        <v>511</v>
      </c>
      <c r="E85" s="195" t="s">
        <v>511</v>
      </c>
      <c r="F85" s="195" t="s">
        <v>511</v>
      </c>
      <c r="G85" s="195" t="s">
        <v>511</v>
      </c>
      <c r="H85" s="195" t="s">
        <v>511</v>
      </c>
      <c r="I85" s="195" t="s">
        <v>511</v>
      </c>
      <c r="J85" s="195" t="s">
        <v>511</v>
      </c>
      <c r="K85" s="195" t="s">
        <v>511</v>
      </c>
      <c r="L85" s="195" t="s">
        <v>511</v>
      </c>
      <c r="M85" s="201">
        <v>1000</v>
      </c>
      <c r="N85" s="206">
        <f>M85/10</f>
        <v>100</v>
      </c>
      <c r="O85" s="197" t="s">
        <v>511</v>
      </c>
    </row>
    <row r="86" spans="1:15" ht="15">
      <c r="A86" s="182" t="s">
        <v>775</v>
      </c>
      <c r="B86" s="174">
        <v>190</v>
      </c>
      <c r="C86" s="175">
        <v>127184</v>
      </c>
      <c r="D86" s="176" t="s">
        <v>511</v>
      </c>
      <c r="E86" s="176" t="s">
        <v>511</v>
      </c>
      <c r="F86" s="176" t="s">
        <v>511</v>
      </c>
      <c r="G86" s="176" t="s">
        <v>511</v>
      </c>
      <c r="H86" s="175" t="s">
        <v>511</v>
      </c>
      <c r="I86" s="183" t="s">
        <v>511</v>
      </c>
      <c r="J86" s="175" t="s">
        <v>511</v>
      </c>
      <c r="K86" s="175" t="s">
        <v>511</v>
      </c>
      <c r="L86" s="175" t="s">
        <v>511</v>
      </c>
      <c r="M86" s="188">
        <v>16430.95</v>
      </c>
      <c r="N86" s="188">
        <f>M86/10</f>
        <v>1643.095</v>
      </c>
      <c r="O86" s="180" t="s">
        <v>511</v>
      </c>
    </row>
    <row r="87" spans="1:15" ht="15">
      <c r="A87" s="182" t="s">
        <v>633</v>
      </c>
      <c r="B87" s="174">
        <v>10</v>
      </c>
      <c r="C87" s="175">
        <v>7440280</v>
      </c>
      <c r="D87" s="176" t="s">
        <v>511</v>
      </c>
      <c r="E87" s="176" t="s">
        <v>511</v>
      </c>
      <c r="F87" s="176" t="s">
        <v>511</v>
      </c>
      <c r="G87" s="176" t="s">
        <v>511</v>
      </c>
      <c r="H87" s="175" t="s">
        <v>696</v>
      </c>
      <c r="I87" s="183" t="s">
        <v>732</v>
      </c>
      <c r="J87" s="184">
        <v>1800</v>
      </c>
      <c r="K87" s="175">
        <v>57</v>
      </c>
      <c r="L87" s="175">
        <v>32</v>
      </c>
      <c r="M87" s="193" t="s">
        <v>511</v>
      </c>
      <c r="N87" s="193" t="s">
        <v>511</v>
      </c>
      <c r="O87" s="180" t="s">
        <v>511</v>
      </c>
    </row>
    <row r="88" spans="1:15" ht="15">
      <c r="A88" s="182" t="s">
        <v>637</v>
      </c>
      <c r="B88" s="174">
        <v>0.0002</v>
      </c>
      <c r="C88" s="175">
        <v>8001352</v>
      </c>
      <c r="D88" s="176" t="s">
        <v>511</v>
      </c>
      <c r="E88" s="176" t="s">
        <v>511</v>
      </c>
      <c r="F88" s="176" t="s">
        <v>511</v>
      </c>
      <c r="G88" s="176" t="s">
        <v>511</v>
      </c>
      <c r="H88" s="175" t="s">
        <v>726</v>
      </c>
      <c r="I88" s="183" t="s">
        <v>776</v>
      </c>
      <c r="J88" s="175">
        <v>2.6</v>
      </c>
      <c r="K88" s="175">
        <v>0.2598</v>
      </c>
      <c r="L88" s="175">
        <v>10.01</v>
      </c>
      <c r="M88" s="188">
        <v>10.12</v>
      </c>
      <c r="N88" s="188">
        <f>M88/10</f>
        <v>1.012</v>
      </c>
      <c r="O88" s="180" t="s">
        <v>511</v>
      </c>
    </row>
    <row r="89" spans="1:15" ht="15">
      <c r="A89" s="182" t="s">
        <v>777</v>
      </c>
      <c r="B89" s="174">
        <v>140</v>
      </c>
      <c r="C89" s="175">
        <v>156605</v>
      </c>
      <c r="D89" s="176" t="s">
        <v>511</v>
      </c>
      <c r="E89" s="176" t="s">
        <v>511</v>
      </c>
      <c r="F89" s="176" t="s">
        <v>511</v>
      </c>
      <c r="G89" s="176" t="s">
        <v>511</v>
      </c>
      <c r="H89" s="176" t="s">
        <v>511</v>
      </c>
      <c r="I89" s="177" t="s">
        <v>511</v>
      </c>
      <c r="J89" s="176" t="s">
        <v>511</v>
      </c>
      <c r="K89" s="176" t="s">
        <v>511</v>
      </c>
      <c r="L89" s="176" t="s">
        <v>511</v>
      </c>
      <c r="M89" s="193" t="s">
        <v>511</v>
      </c>
      <c r="N89" s="193" t="s">
        <v>511</v>
      </c>
      <c r="O89" s="180" t="s">
        <v>511</v>
      </c>
    </row>
    <row r="90" spans="1:15" ht="15">
      <c r="A90" s="182" t="s">
        <v>778</v>
      </c>
      <c r="B90" s="174">
        <v>200</v>
      </c>
      <c r="C90" s="175">
        <v>79016</v>
      </c>
      <c r="D90" s="176" t="s">
        <v>511</v>
      </c>
      <c r="E90" s="176" t="s">
        <v>511</v>
      </c>
      <c r="F90" s="176" t="s">
        <v>511</v>
      </c>
      <c r="G90" s="176" t="s">
        <v>511</v>
      </c>
      <c r="H90" s="175" t="s">
        <v>511</v>
      </c>
      <c r="I90" s="183" t="s">
        <v>511</v>
      </c>
      <c r="J90" s="175" t="s">
        <v>511</v>
      </c>
      <c r="K90" s="175" t="s">
        <v>511</v>
      </c>
      <c r="L90" s="175" t="s">
        <v>511</v>
      </c>
      <c r="M90" s="188">
        <v>41161.69</v>
      </c>
      <c r="N90" s="188">
        <f>M90/10</f>
        <v>4116.169</v>
      </c>
      <c r="O90" s="180" t="s">
        <v>511</v>
      </c>
    </row>
    <row r="91" spans="1:15" ht="15">
      <c r="A91" s="182" t="s">
        <v>640</v>
      </c>
      <c r="B91" s="174">
        <v>12</v>
      </c>
      <c r="C91" s="195" t="s">
        <v>511</v>
      </c>
      <c r="D91" s="195" t="s">
        <v>511</v>
      </c>
      <c r="E91" s="195" t="s">
        <v>511</v>
      </c>
      <c r="F91" s="195" t="s">
        <v>511</v>
      </c>
      <c r="G91" s="195" t="s">
        <v>511</v>
      </c>
      <c r="H91" s="195" t="s">
        <v>511</v>
      </c>
      <c r="I91" s="195" t="s">
        <v>511</v>
      </c>
      <c r="J91" s="195" t="s">
        <v>511</v>
      </c>
      <c r="K91" s="195" t="s">
        <v>511</v>
      </c>
      <c r="L91" s="195" t="s">
        <v>511</v>
      </c>
      <c r="M91" s="201">
        <f>N91*10</f>
        <v>2400</v>
      </c>
      <c r="N91" s="206">
        <v>240</v>
      </c>
      <c r="O91" s="197" t="s">
        <v>511</v>
      </c>
    </row>
    <row r="92" spans="1:15" ht="15">
      <c r="A92" s="182" t="s">
        <v>642</v>
      </c>
      <c r="B92" s="174">
        <v>35</v>
      </c>
      <c r="C92" s="195" t="s">
        <v>511</v>
      </c>
      <c r="D92" s="195" t="s">
        <v>511</v>
      </c>
      <c r="E92" s="195" t="s">
        <v>511</v>
      </c>
      <c r="F92" s="195" t="s">
        <v>511</v>
      </c>
      <c r="G92" s="195" t="s">
        <v>511</v>
      </c>
      <c r="H92" s="195" t="s">
        <v>511</v>
      </c>
      <c r="I92" s="195" t="s">
        <v>511</v>
      </c>
      <c r="J92" s="195" t="s">
        <v>511</v>
      </c>
      <c r="K92" s="195" t="s">
        <v>511</v>
      </c>
      <c r="L92" s="195" t="s">
        <v>511</v>
      </c>
      <c r="M92" s="196">
        <v>25641.96</v>
      </c>
      <c r="N92" s="192">
        <f>M92/10</f>
        <v>2564.196</v>
      </c>
      <c r="O92" s="197" t="s">
        <v>511</v>
      </c>
    </row>
    <row r="93" spans="1:15" ht="8.25" customHeight="1">
      <c r="A93" s="182"/>
      <c r="B93" s="174"/>
      <c r="C93" s="195"/>
      <c r="D93" s="195"/>
      <c r="E93" s="195"/>
      <c r="F93" s="195"/>
      <c r="G93" s="195"/>
      <c r="H93" s="195"/>
      <c r="I93" s="195"/>
      <c r="J93" s="195"/>
      <c r="K93" s="195"/>
      <c r="L93" s="195"/>
      <c r="M93" s="196"/>
      <c r="N93" s="192"/>
      <c r="O93" s="197"/>
    </row>
    <row r="94" spans="1:15" ht="15.75">
      <c r="A94" s="291" t="s">
        <v>798</v>
      </c>
      <c r="B94" s="292"/>
      <c r="C94" s="292"/>
      <c r="D94" s="292"/>
      <c r="E94" s="292"/>
      <c r="F94" s="292"/>
      <c r="G94" s="292"/>
      <c r="H94" s="292"/>
      <c r="I94" s="292"/>
      <c r="J94" s="292"/>
      <c r="K94" s="292"/>
      <c r="L94" s="292"/>
      <c r="M94" s="292"/>
      <c r="N94" s="292"/>
      <c r="O94" s="293"/>
    </row>
    <row r="95" spans="1:15" ht="15">
      <c r="A95" s="182" t="s">
        <v>779</v>
      </c>
      <c r="B95" s="195" t="s">
        <v>511</v>
      </c>
      <c r="C95" s="195"/>
      <c r="D95" s="195"/>
      <c r="E95" s="195"/>
      <c r="F95" s="195"/>
      <c r="G95" s="195"/>
      <c r="H95" s="195"/>
      <c r="I95" s="195"/>
      <c r="J95" s="195"/>
      <c r="K95" s="195"/>
      <c r="L95" s="195"/>
      <c r="M95" s="196">
        <v>51792.53</v>
      </c>
      <c r="N95" s="196">
        <f>M95/10</f>
        <v>5179.253</v>
      </c>
      <c r="O95" s="180" t="s">
        <v>511</v>
      </c>
    </row>
    <row r="96" spans="1:15" ht="15">
      <c r="A96" s="216" t="s">
        <v>780</v>
      </c>
      <c r="B96" s="176" t="s">
        <v>511</v>
      </c>
      <c r="C96" s="176" t="s">
        <v>511</v>
      </c>
      <c r="D96" s="176" t="s">
        <v>511</v>
      </c>
      <c r="E96" s="176" t="s">
        <v>511</v>
      </c>
      <c r="F96" s="176" t="s">
        <v>511</v>
      </c>
      <c r="G96" s="175" t="s">
        <v>409</v>
      </c>
      <c r="H96" s="183" t="s">
        <v>409</v>
      </c>
      <c r="I96" s="177" t="s">
        <v>511</v>
      </c>
      <c r="J96" s="184">
        <v>2030</v>
      </c>
      <c r="K96" s="176">
        <f>J96/10</f>
        <v>203</v>
      </c>
      <c r="L96" s="175" t="s">
        <v>409</v>
      </c>
      <c r="M96" s="179" t="s">
        <v>511</v>
      </c>
      <c r="N96" s="179" t="s">
        <v>511</v>
      </c>
      <c r="O96" s="180" t="s">
        <v>511</v>
      </c>
    </row>
    <row r="97" spans="1:15" ht="15">
      <c r="A97" s="182" t="s">
        <v>781</v>
      </c>
      <c r="B97" s="195" t="s">
        <v>511</v>
      </c>
      <c r="C97" s="195"/>
      <c r="D97" s="195"/>
      <c r="E97" s="195"/>
      <c r="F97" s="195"/>
      <c r="G97" s="195"/>
      <c r="H97" s="195"/>
      <c r="I97" s="195"/>
      <c r="J97" s="195"/>
      <c r="K97" s="195"/>
      <c r="L97" s="195"/>
      <c r="M97" s="196">
        <v>19138.97</v>
      </c>
      <c r="N97" s="196">
        <f>M97/10</f>
        <v>1913.8970000000002</v>
      </c>
      <c r="O97" s="180" t="s">
        <v>511</v>
      </c>
    </row>
    <row r="98" spans="1:15" ht="15">
      <c r="A98" s="182" t="s">
        <v>782</v>
      </c>
      <c r="B98" s="195" t="s">
        <v>511</v>
      </c>
      <c r="C98" s="195"/>
      <c r="D98" s="195"/>
      <c r="E98" s="195"/>
      <c r="F98" s="195"/>
      <c r="G98" s="195"/>
      <c r="H98" s="195"/>
      <c r="I98" s="195"/>
      <c r="J98" s="195"/>
      <c r="K98" s="195"/>
      <c r="L98" s="195"/>
      <c r="M98" s="201">
        <v>100000</v>
      </c>
      <c r="N98" s="201">
        <f>M98/10</f>
        <v>10000</v>
      </c>
      <c r="O98" s="180" t="s">
        <v>511</v>
      </c>
    </row>
    <row r="99" spans="1:15" ht="15">
      <c r="A99" s="182" t="s">
        <v>783</v>
      </c>
      <c r="B99" s="195" t="s">
        <v>511</v>
      </c>
      <c r="C99" s="195"/>
      <c r="D99" s="195"/>
      <c r="E99" s="195"/>
      <c r="F99" s="195"/>
      <c r="G99" s="195"/>
      <c r="H99" s="195"/>
      <c r="I99" s="195" t="s">
        <v>511</v>
      </c>
      <c r="J99" s="195" t="s">
        <v>511</v>
      </c>
      <c r="K99" s="195" t="s">
        <v>511</v>
      </c>
      <c r="L99" s="195" t="s">
        <v>511</v>
      </c>
      <c r="M99" s="201">
        <v>5600</v>
      </c>
      <c r="N99" s="206">
        <f>M99/10</f>
        <v>560</v>
      </c>
      <c r="O99" s="180" t="s">
        <v>511</v>
      </c>
    </row>
    <row r="100" spans="1:15" ht="6.75" customHeight="1">
      <c r="A100" s="182"/>
      <c r="B100" s="195"/>
      <c r="C100" s="195"/>
      <c r="D100" s="195"/>
      <c r="E100" s="195"/>
      <c r="F100" s="195"/>
      <c r="G100" s="195"/>
      <c r="H100" s="195"/>
      <c r="I100" s="195"/>
      <c r="J100" s="195"/>
      <c r="K100" s="195"/>
      <c r="L100" s="195"/>
      <c r="M100" s="201"/>
      <c r="N100" s="206"/>
      <c r="O100" s="180"/>
    </row>
    <row r="101" spans="1:15" ht="15.75">
      <c r="A101" s="291" t="s">
        <v>799</v>
      </c>
      <c r="B101" s="292"/>
      <c r="C101" s="292"/>
      <c r="D101" s="292"/>
      <c r="E101" s="292"/>
      <c r="F101" s="292"/>
      <c r="G101" s="292"/>
      <c r="H101" s="292"/>
      <c r="I101" s="292"/>
      <c r="J101" s="292"/>
      <c r="K101" s="292"/>
      <c r="L101" s="292"/>
      <c r="M101" s="292"/>
      <c r="N101" s="292"/>
      <c r="O101" s="293"/>
    </row>
    <row r="102" spans="1:15" ht="15">
      <c r="A102" s="182" t="s">
        <v>513</v>
      </c>
      <c r="B102" s="174">
        <v>32</v>
      </c>
      <c r="C102" s="195" t="s">
        <v>511</v>
      </c>
      <c r="D102" s="195" t="s">
        <v>511</v>
      </c>
      <c r="E102" s="195" t="s">
        <v>511</v>
      </c>
      <c r="F102" s="195" t="s">
        <v>511</v>
      </c>
      <c r="G102" s="195" t="s">
        <v>511</v>
      </c>
      <c r="H102" s="195" t="s">
        <v>511</v>
      </c>
      <c r="I102" s="195" t="s">
        <v>511</v>
      </c>
      <c r="J102" s="195" t="s">
        <v>511</v>
      </c>
      <c r="K102" s="195" t="s">
        <v>511</v>
      </c>
      <c r="L102" s="195" t="s">
        <v>511</v>
      </c>
      <c r="M102" s="206" t="s">
        <v>511</v>
      </c>
      <c r="N102" s="206" t="s">
        <v>511</v>
      </c>
      <c r="O102" s="197" t="s">
        <v>511</v>
      </c>
    </row>
    <row r="103" spans="1:15" ht="15">
      <c r="A103" s="182" t="s">
        <v>515</v>
      </c>
      <c r="B103" s="174">
        <v>740</v>
      </c>
      <c r="C103" s="175">
        <v>75343</v>
      </c>
      <c r="D103" s="176" t="s">
        <v>511</v>
      </c>
      <c r="E103" s="176" t="s">
        <v>511</v>
      </c>
      <c r="F103" s="176" t="s">
        <v>511</v>
      </c>
      <c r="G103" s="176" t="s">
        <v>511</v>
      </c>
      <c r="H103" s="176" t="s">
        <v>511</v>
      </c>
      <c r="I103" s="177" t="s">
        <v>511</v>
      </c>
      <c r="J103" s="176" t="s">
        <v>511</v>
      </c>
      <c r="K103" s="176" t="s">
        <v>511</v>
      </c>
      <c r="L103" s="176" t="s">
        <v>511</v>
      </c>
      <c r="M103" s="193" t="s">
        <v>511</v>
      </c>
      <c r="N103" s="193" t="s">
        <v>511</v>
      </c>
      <c r="O103" s="180" t="s">
        <v>511</v>
      </c>
    </row>
    <row r="104" spans="1:15" ht="15">
      <c r="A104" s="182" t="s">
        <v>516</v>
      </c>
      <c r="B104" s="174">
        <v>8</v>
      </c>
      <c r="C104" s="195" t="s">
        <v>511</v>
      </c>
      <c r="D104" s="195" t="s">
        <v>511</v>
      </c>
      <c r="E104" s="195" t="s">
        <v>511</v>
      </c>
      <c r="F104" s="195" t="s">
        <v>511</v>
      </c>
      <c r="G104" s="195" t="s">
        <v>511</v>
      </c>
      <c r="H104" s="195" t="s">
        <v>511</v>
      </c>
      <c r="I104" s="195" t="s">
        <v>511</v>
      </c>
      <c r="J104" s="195" t="s">
        <v>511</v>
      </c>
      <c r="K104" s="195" t="s">
        <v>511</v>
      </c>
      <c r="L104" s="195" t="s">
        <v>511</v>
      </c>
      <c r="M104" s="196" t="s">
        <v>511</v>
      </c>
      <c r="N104" s="196" t="s">
        <v>511</v>
      </c>
      <c r="O104" s="197" t="s">
        <v>511</v>
      </c>
    </row>
    <row r="105" spans="1:15" ht="15">
      <c r="A105" s="182" t="s">
        <v>518</v>
      </c>
      <c r="B105" s="174">
        <v>17</v>
      </c>
      <c r="C105" s="195" t="s">
        <v>511</v>
      </c>
      <c r="D105" s="195" t="s">
        <v>511</v>
      </c>
      <c r="E105" s="195" t="s">
        <v>511</v>
      </c>
      <c r="F105" s="195" t="s">
        <v>511</v>
      </c>
      <c r="G105" s="195" t="s">
        <v>511</v>
      </c>
      <c r="H105" s="195" t="s">
        <v>511</v>
      </c>
      <c r="I105" s="195" t="s">
        <v>511</v>
      </c>
      <c r="J105" s="195" t="s">
        <v>511</v>
      </c>
      <c r="K105" s="195" t="s">
        <v>511</v>
      </c>
      <c r="L105" s="195" t="s">
        <v>511</v>
      </c>
      <c r="M105" s="206" t="s">
        <v>511</v>
      </c>
      <c r="N105" s="206" t="s">
        <v>511</v>
      </c>
      <c r="O105" s="197" t="s">
        <v>511</v>
      </c>
    </row>
    <row r="106" spans="1:15" ht="15">
      <c r="A106" s="182" t="s">
        <v>186</v>
      </c>
      <c r="B106" s="174">
        <v>0.006</v>
      </c>
      <c r="C106" s="195" t="s">
        <v>511</v>
      </c>
      <c r="D106" s="195" t="s">
        <v>511</v>
      </c>
      <c r="E106" s="195" t="s">
        <v>511</v>
      </c>
      <c r="F106" s="195" t="s">
        <v>511</v>
      </c>
      <c r="G106" s="195" t="s">
        <v>511</v>
      </c>
      <c r="H106" s="195" t="s">
        <v>511</v>
      </c>
      <c r="I106" s="195" t="s">
        <v>511</v>
      </c>
      <c r="J106" s="195" t="s">
        <v>511</v>
      </c>
      <c r="K106" s="195" t="s">
        <v>511</v>
      </c>
      <c r="L106" s="195" t="s">
        <v>511</v>
      </c>
      <c r="M106" s="206" t="s">
        <v>511</v>
      </c>
      <c r="N106" s="206" t="s">
        <v>511</v>
      </c>
      <c r="O106" s="197" t="s">
        <v>511</v>
      </c>
    </row>
    <row r="107" spans="1:15" ht="15">
      <c r="A107" s="182" t="s">
        <v>519</v>
      </c>
      <c r="B107" s="174">
        <v>13</v>
      </c>
      <c r="C107" s="175">
        <v>95501</v>
      </c>
      <c r="D107" s="176" t="s">
        <v>511</v>
      </c>
      <c r="E107" s="176" t="s">
        <v>511</v>
      </c>
      <c r="F107" s="176" t="s">
        <v>511</v>
      </c>
      <c r="G107" s="176" t="s">
        <v>511</v>
      </c>
      <c r="H107" s="176" t="s">
        <v>511</v>
      </c>
      <c r="I107" s="177" t="s">
        <v>511</v>
      </c>
      <c r="J107" s="176" t="s">
        <v>511</v>
      </c>
      <c r="K107" s="176" t="s">
        <v>511</v>
      </c>
      <c r="L107" s="176" t="s">
        <v>511</v>
      </c>
      <c r="M107" s="179" t="s">
        <v>511</v>
      </c>
      <c r="N107" s="179" t="s">
        <v>511</v>
      </c>
      <c r="O107" s="180" t="s">
        <v>511</v>
      </c>
    </row>
    <row r="108" spans="1:15" ht="15">
      <c r="A108" s="182" t="s">
        <v>179</v>
      </c>
      <c r="B108" s="194">
        <v>1100</v>
      </c>
      <c r="C108" s="195" t="s">
        <v>511</v>
      </c>
      <c r="D108" s="195" t="s">
        <v>511</v>
      </c>
      <c r="E108" s="195" t="s">
        <v>511</v>
      </c>
      <c r="F108" s="195" t="s">
        <v>511</v>
      </c>
      <c r="G108" s="195" t="s">
        <v>511</v>
      </c>
      <c r="H108" s="195" t="s">
        <v>511</v>
      </c>
      <c r="I108" s="195" t="s">
        <v>511</v>
      </c>
      <c r="J108" s="195" t="s">
        <v>511</v>
      </c>
      <c r="K108" s="195" t="s">
        <v>511</v>
      </c>
      <c r="L108" s="195" t="s">
        <v>511</v>
      </c>
      <c r="M108" s="206" t="s">
        <v>511</v>
      </c>
      <c r="N108" s="206" t="s">
        <v>511</v>
      </c>
      <c r="O108" s="197" t="s">
        <v>511</v>
      </c>
    </row>
    <row r="109" spans="1:15" ht="15">
      <c r="A109" s="182" t="s">
        <v>522</v>
      </c>
      <c r="B109" s="174">
        <v>2.7</v>
      </c>
      <c r="C109" s="175">
        <v>122667</v>
      </c>
      <c r="D109" s="176" t="s">
        <v>511</v>
      </c>
      <c r="E109" s="176" t="s">
        <v>511</v>
      </c>
      <c r="F109" s="176" t="s">
        <v>511</v>
      </c>
      <c r="G109" s="176" t="s">
        <v>511</v>
      </c>
      <c r="H109" s="176" t="s">
        <v>511</v>
      </c>
      <c r="I109" s="177" t="s">
        <v>511</v>
      </c>
      <c r="J109" s="176" t="s">
        <v>511</v>
      </c>
      <c r="K109" s="176" t="s">
        <v>511</v>
      </c>
      <c r="L109" s="176" t="s">
        <v>511</v>
      </c>
      <c r="M109" s="193" t="s">
        <v>511</v>
      </c>
      <c r="N109" s="193" t="s">
        <v>511</v>
      </c>
      <c r="O109" s="180" t="s">
        <v>511</v>
      </c>
    </row>
    <row r="110" spans="1:15" ht="15">
      <c r="A110" s="182" t="s">
        <v>527</v>
      </c>
      <c r="B110" s="174">
        <v>5</v>
      </c>
      <c r="C110" s="175">
        <v>88062</v>
      </c>
      <c r="D110" s="176" t="s">
        <v>511</v>
      </c>
      <c r="E110" s="176" t="s">
        <v>511</v>
      </c>
      <c r="F110" s="176" t="s">
        <v>511</v>
      </c>
      <c r="G110" s="176" t="s">
        <v>511</v>
      </c>
      <c r="H110" s="176" t="s">
        <v>511</v>
      </c>
      <c r="I110" s="177" t="s">
        <v>511</v>
      </c>
      <c r="J110" s="176" t="s">
        <v>511</v>
      </c>
      <c r="K110" s="176" t="s">
        <v>511</v>
      </c>
      <c r="L110" s="176" t="s">
        <v>511</v>
      </c>
      <c r="M110" s="179" t="s">
        <v>511</v>
      </c>
      <c r="N110" s="179" t="s">
        <v>511</v>
      </c>
      <c r="O110" s="180" t="s">
        <v>511</v>
      </c>
    </row>
    <row r="111" spans="1:15" ht="15">
      <c r="A111" s="182" t="s">
        <v>528</v>
      </c>
      <c r="B111" s="174">
        <v>220</v>
      </c>
      <c r="C111" s="175">
        <v>94757</v>
      </c>
      <c r="D111" s="176" t="s">
        <v>511</v>
      </c>
      <c r="E111" s="176" t="s">
        <v>511</v>
      </c>
      <c r="F111" s="176" t="s">
        <v>511</v>
      </c>
      <c r="G111" s="176" t="s">
        <v>511</v>
      </c>
      <c r="H111" s="175" t="s">
        <v>511</v>
      </c>
      <c r="I111" s="183" t="s">
        <v>511</v>
      </c>
      <c r="J111" s="175" t="s">
        <v>511</v>
      </c>
      <c r="K111" s="175" t="s">
        <v>511</v>
      </c>
      <c r="L111" s="175" t="s">
        <v>511</v>
      </c>
      <c r="M111" s="179" t="s">
        <v>511</v>
      </c>
      <c r="N111" s="179" t="s">
        <v>511</v>
      </c>
      <c r="O111" s="180" t="s">
        <v>511</v>
      </c>
    </row>
    <row r="112" spans="1:15" ht="15">
      <c r="A112" s="182" t="s">
        <v>117</v>
      </c>
      <c r="B112" s="194">
        <v>3540</v>
      </c>
      <c r="C112" s="175">
        <v>110758</v>
      </c>
      <c r="D112" s="176" t="s">
        <v>511</v>
      </c>
      <c r="E112" s="176" t="s">
        <v>511</v>
      </c>
      <c r="F112" s="176" t="s">
        <v>511</v>
      </c>
      <c r="G112" s="176" t="s">
        <v>511</v>
      </c>
      <c r="H112" s="176" t="s">
        <v>511</v>
      </c>
      <c r="I112" s="177" t="s">
        <v>511</v>
      </c>
      <c r="J112" s="176" t="s">
        <v>511</v>
      </c>
      <c r="K112" s="176" t="s">
        <v>511</v>
      </c>
      <c r="L112" s="176" t="s">
        <v>511</v>
      </c>
      <c r="M112" s="179" t="s">
        <v>511</v>
      </c>
      <c r="N112" s="179" t="s">
        <v>511</v>
      </c>
      <c r="O112" s="180" t="s">
        <v>511</v>
      </c>
    </row>
    <row r="113" spans="1:15" ht="15">
      <c r="A113" s="200" t="s">
        <v>119</v>
      </c>
      <c r="B113" s="174">
        <v>99</v>
      </c>
      <c r="C113" s="195" t="s">
        <v>511</v>
      </c>
      <c r="D113" s="195" t="s">
        <v>511</v>
      </c>
      <c r="E113" s="195" t="s">
        <v>511</v>
      </c>
      <c r="F113" s="195" t="s">
        <v>511</v>
      </c>
      <c r="G113" s="195" t="s">
        <v>511</v>
      </c>
      <c r="H113" s="195" t="s">
        <v>511</v>
      </c>
      <c r="I113" s="195" t="s">
        <v>511</v>
      </c>
      <c r="J113" s="195" t="s">
        <v>511</v>
      </c>
      <c r="K113" s="195" t="s">
        <v>511</v>
      </c>
      <c r="L113" s="195" t="s">
        <v>511</v>
      </c>
      <c r="M113" s="206" t="s">
        <v>511</v>
      </c>
      <c r="N113" s="206" t="s">
        <v>511</v>
      </c>
      <c r="O113" s="197" t="s">
        <v>511</v>
      </c>
    </row>
    <row r="114" spans="1:15" ht="15">
      <c r="A114" s="182" t="s">
        <v>120</v>
      </c>
      <c r="B114" s="174">
        <v>2.3</v>
      </c>
      <c r="C114" s="175">
        <v>534521</v>
      </c>
      <c r="D114" s="176" t="s">
        <v>511</v>
      </c>
      <c r="E114" s="176" t="s">
        <v>511</v>
      </c>
      <c r="F114" s="176" t="s">
        <v>511</v>
      </c>
      <c r="G114" s="176" t="s">
        <v>511</v>
      </c>
      <c r="H114" s="176" t="s">
        <v>511</v>
      </c>
      <c r="I114" s="177" t="s">
        <v>511</v>
      </c>
      <c r="J114" s="176" t="s">
        <v>511</v>
      </c>
      <c r="K114" s="176" t="s">
        <v>511</v>
      </c>
      <c r="L114" s="176" t="s">
        <v>511</v>
      </c>
      <c r="M114" s="179" t="s">
        <v>511</v>
      </c>
      <c r="N114" s="179" t="s">
        <v>511</v>
      </c>
      <c r="O114" s="180" t="s">
        <v>511</v>
      </c>
    </row>
    <row r="115" spans="1:15" ht="15">
      <c r="A115" s="182" t="s">
        <v>122</v>
      </c>
      <c r="B115" s="195">
        <v>4.5</v>
      </c>
      <c r="C115" s="175">
        <v>91941</v>
      </c>
      <c r="D115" s="176" t="s">
        <v>511</v>
      </c>
      <c r="E115" s="176" t="s">
        <v>511</v>
      </c>
      <c r="F115" s="176" t="s">
        <v>511</v>
      </c>
      <c r="G115" s="176" t="s">
        <v>511</v>
      </c>
      <c r="H115" s="176" t="s">
        <v>511</v>
      </c>
      <c r="I115" s="177" t="s">
        <v>511</v>
      </c>
      <c r="J115" s="176" t="s">
        <v>511</v>
      </c>
      <c r="K115" s="176" t="s">
        <v>511</v>
      </c>
      <c r="L115" s="176" t="s">
        <v>511</v>
      </c>
      <c r="M115" s="179" t="s">
        <v>511</v>
      </c>
      <c r="N115" s="179" t="s">
        <v>511</v>
      </c>
      <c r="O115" s="180" t="s">
        <v>511</v>
      </c>
    </row>
    <row r="116" spans="1:15" ht="30">
      <c r="A116" s="210" t="s">
        <v>124</v>
      </c>
      <c r="B116" s="174">
        <v>7.4</v>
      </c>
      <c r="C116" s="175">
        <v>59507</v>
      </c>
      <c r="D116" s="176" t="s">
        <v>511</v>
      </c>
      <c r="E116" s="176" t="s">
        <v>511</v>
      </c>
      <c r="F116" s="176" t="s">
        <v>511</v>
      </c>
      <c r="G116" s="176" t="s">
        <v>511</v>
      </c>
      <c r="H116" s="176" t="s">
        <v>511</v>
      </c>
      <c r="I116" s="177" t="s">
        <v>511</v>
      </c>
      <c r="J116" s="176" t="s">
        <v>511</v>
      </c>
      <c r="K116" s="176" t="s">
        <v>511</v>
      </c>
      <c r="L116" s="176" t="s">
        <v>511</v>
      </c>
      <c r="M116" s="179" t="s">
        <v>511</v>
      </c>
      <c r="N116" s="179" t="s">
        <v>511</v>
      </c>
      <c r="O116" s="180" t="s">
        <v>511</v>
      </c>
    </row>
    <row r="117" spans="1:15" ht="15">
      <c r="A117" s="210" t="s">
        <v>784</v>
      </c>
      <c r="B117" s="174">
        <v>20</v>
      </c>
      <c r="C117" s="195" t="s">
        <v>511</v>
      </c>
      <c r="D117" s="195" t="s">
        <v>511</v>
      </c>
      <c r="E117" s="195" t="s">
        <v>511</v>
      </c>
      <c r="F117" s="195" t="s">
        <v>511</v>
      </c>
      <c r="G117" s="195" t="s">
        <v>511</v>
      </c>
      <c r="H117" s="195" t="s">
        <v>511</v>
      </c>
      <c r="I117" s="195" t="s">
        <v>511</v>
      </c>
      <c r="J117" s="195" t="s">
        <v>511</v>
      </c>
      <c r="K117" s="195" t="s">
        <v>511</v>
      </c>
      <c r="L117" s="195" t="s">
        <v>511</v>
      </c>
      <c r="M117" s="206" t="s">
        <v>511</v>
      </c>
      <c r="N117" s="206" t="s">
        <v>511</v>
      </c>
      <c r="O117" s="197" t="s">
        <v>511</v>
      </c>
    </row>
    <row r="118" spans="1:15" ht="15">
      <c r="A118" s="200" t="s">
        <v>125</v>
      </c>
      <c r="B118" s="174">
        <v>170</v>
      </c>
      <c r="C118" s="195" t="s">
        <v>511</v>
      </c>
      <c r="D118" s="195" t="s">
        <v>511</v>
      </c>
      <c r="E118" s="195" t="s">
        <v>511</v>
      </c>
      <c r="F118" s="195" t="s">
        <v>511</v>
      </c>
      <c r="G118" s="195" t="s">
        <v>511</v>
      </c>
      <c r="H118" s="195" t="s">
        <v>511</v>
      </c>
      <c r="I118" s="195" t="s">
        <v>511</v>
      </c>
      <c r="J118" s="195" t="s">
        <v>511</v>
      </c>
      <c r="K118" s="195" t="s">
        <v>511</v>
      </c>
      <c r="L118" s="195" t="s">
        <v>511</v>
      </c>
      <c r="M118" s="206" t="s">
        <v>511</v>
      </c>
      <c r="N118" s="206" t="s">
        <v>511</v>
      </c>
      <c r="O118" s="197" t="s">
        <v>511</v>
      </c>
    </row>
    <row r="119" spans="1:15" ht="15">
      <c r="A119" s="182" t="s">
        <v>128</v>
      </c>
      <c r="B119" s="194">
        <v>1700</v>
      </c>
      <c r="C119" s="195" t="s">
        <v>511</v>
      </c>
      <c r="D119" s="195" t="s">
        <v>511</v>
      </c>
      <c r="E119" s="195" t="s">
        <v>511</v>
      </c>
      <c r="F119" s="195" t="s">
        <v>511</v>
      </c>
      <c r="G119" s="195" t="s">
        <v>511</v>
      </c>
      <c r="H119" s="195" t="s">
        <v>511</v>
      </c>
      <c r="I119" s="195" t="s">
        <v>511</v>
      </c>
      <c r="J119" s="195" t="s">
        <v>511</v>
      </c>
      <c r="K119" s="195" t="s">
        <v>511</v>
      </c>
      <c r="L119" s="195" t="s">
        <v>511</v>
      </c>
      <c r="M119" s="206" t="s">
        <v>511</v>
      </c>
      <c r="N119" s="206" t="s">
        <v>511</v>
      </c>
      <c r="O119" s="197" t="s">
        <v>511</v>
      </c>
    </row>
    <row r="120" spans="1:15" ht="15">
      <c r="A120" s="182" t="s">
        <v>131</v>
      </c>
      <c r="B120" s="195">
        <v>11</v>
      </c>
      <c r="C120" s="195" t="s">
        <v>511</v>
      </c>
      <c r="D120" s="195" t="s">
        <v>511</v>
      </c>
      <c r="E120" s="195" t="s">
        <v>511</v>
      </c>
      <c r="F120" s="195" t="s">
        <v>511</v>
      </c>
      <c r="G120" s="195" t="s">
        <v>511</v>
      </c>
      <c r="H120" s="195" t="s">
        <v>511</v>
      </c>
      <c r="I120" s="195" t="s">
        <v>511</v>
      </c>
      <c r="J120" s="195" t="s">
        <v>511</v>
      </c>
      <c r="K120" s="195" t="s">
        <v>511</v>
      </c>
      <c r="L120" s="195" t="s">
        <v>511</v>
      </c>
      <c r="M120" s="206" t="s">
        <v>511</v>
      </c>
      <c r="N120" s="206" t="s">
        <v>511</v>
      </c>
      <c r="O120" s="197" t="s">
        <v>511</v>
      </c>
    </row>
    <row r="121" spans="1:15" ht="15">
      <c r="A121" s="182" t="s">
        <v>132</v>
      </c>
      <c r="B121" s="217">
        <v>1</v>
      </c>
      <c r="C121" s="195" t="s">
        <v>511</v>
      </c>
      <c r="D121" s="195" t="s">
        <v>511</v>
      </c>
      <c r="E121" s="195" t="s">
        <v>511</v>
      </c>
      <c r="F121" s="195" t="s">
        <v>511</v>
      </c>
      <c r="G121" s="195" t="s">
        <v>511</v>
      </c>
      <c r="H121" s="195" t="s">
        <v>511</v>
      </c>
      <c r="I121" s="195" t="s">
        <v>511</v>
      </c>
      <c r="J121" s="195" t="s">
        <v>511</v>
      </c>
      <c r="K121" s="195" t="s">
        <v>511</v>
      </c>
      <c r="L121" s="195" t="s">
        <v>511</v>
      </c>
      <c r="M121" s="206" t="s">
        <v>511</v>
      </c>
      <c r="N121" s="206" t="s">
        <v>511</v>
      </c>
      <c r="O121" s="197" t="s">
        <v>511</v>
      </c>
    </row>
    <row r="122" spans="1:15" ht="19.5">
      <c r="A122" s="218" t="s">
        <v>785</v>
      </c>
      <c r="B122" s="219">
        <v>20000</v>
      </c>
      <c r="C122" s="175" t="s">
        <v>511</v>
      </c>
      <c r="D122" s="176" t="s">
        <v>511</v>
      </c>
      <c r="E122" s="176" t="s">
        <v>511</v>
      </c>
      <c r="F122" s="176" t="s">
        <v>511</v>
      </c>
      <c r="G122" s="176" t="s">
        <v>511</v>
      </c>
      <c r="H122" s="175" t="s">
        <v>511</v>
      </c>
      <c r="I122" s="183" t="s">
        <v>511</v>
      </c>
      <c r="J122" s="175" t="s">
        <v>511</v>
      </c>
      <c r="K122" s="175" t="s">
        <v>511</v>
      </c>
      <c r="L122" s="175" t="s">
        <v>511</v>
      </c>
      <c r="M122" s="179" t="s">
        <v>511</v>
      </c>
      <c r="N122" s="179" t="s">
        <v>511</v>
      </c>
      <c r="O122" s="180" t="s">
        <v>511</v>
      </c>
    </row>
    <row r="123" spans="1:15" ht="15">
      <c r="A123" s="182" t="s">
        <v>135</v>
      </c>
      <c r="B123" s="174">
        <v>0.056</v>
      </c>
      <c r="C123" s="175">
        <v>959988</v>
      </c>
      <c r="D123" s="176" t="s">
        <v>511</v>
      </c>
      <c r="E123" s="176" t="s">
        <v>511</v>
      </c>
      <c r="F123" s="176" t="s">
        <v>511</v>
      </c>
      <c r="G123" s="176" t="s">
        <v>511</v>
      </c>
      <c r="H123" s="175" t="s">
        <v>511</v>
      </c>
      <c r="I123" s="183" t="s">
        <v>511</v>
      </c>
      <c r="J123" s="175" t="s">
        <v>511</v>
      </c>
      <c r="K123" s="175" t="s">
        <v>511</v>
      </c>
      <c r="L123" s="175" t="s">
        <v>511</v>
      </c>
      <c r="M123" s="179" t="s">
        <v>511</v>
      </c>
      <c r="N123" s="179" t="s">
        <v>511</v>
      </c>
      <c r="O123" s="180" t="s">
        <v>511</v>
      </c>
    </row>
    <row r="124" spans="1:15" ht="15">
      <c r="A124" s="182" t="s">
        <v>138</v>
      </c>
      <c r="B124" s="174">
        <v>87</v>
      </c>
      <c r="C124" s="175">
        <v>7429905</v>
      </c>
      <c r="D124" s="176" t="s">
        <v>511</v>
      </c>
      <c r="E124" s="176" t="s">
        <v>511</v>
      </c>
      <c r="F124" s="176" t="s">
        <v>511</v>
      </c>
      <c r="G124" s="176" t="s">
        <v>511</v>
      </c>
      <c r="H124" s="175" t="s">
        <v>511</v>
      </c>
      <c r="I124" s="183" t="s">
        <v>511</v>
      </c>
      <c r="J124" s="175" t="s">
        <v>511</v>
      </c>
      <c r="K124" s="175" t="s">
        <v>511</v>
      </c>
      <c r="L124" s="175" t="s">
        <v>511</v>
      </c>
      <c r="M124" s="179" t="s">
        <v>511</v>
      </c>
      <c r="N124" s="179" t="s">
        <v>511</v>
      </c>
      <c r="O124" s="180" t="s">
        <v>511</v>
      </c>
    </row>
    <row r="125" spans="1:15" ht="15">
      <c r="A125" s="182" t="s">
        <v>139</v>
      </c>
      <c r="B125" s="195">
        <v>87</v>
      </c>
      <c r="C125" s="195" t="s">
        <v>511</v>
      </c>
      <c r="D125" s="195" t="s">
        <v>511</v>
      </c>
      <c r="E125" s="195" t="s">
        <v>511</v>
      </c>
      <c r="F125" s="195" t="s">
        <v>511</v>
      </c>
      <c r="G125" s="195" t="s">
        <v>511</v>
      </c>
      <c r="H125" s="195" t="s">
        <v>511</v>
      </c>
      <c r="I125" s="195" t="s">
        <v>511</v>
      </c>
      <c r="J125" s="195" t="s">
        <v>511</v>
      </c>
      <c r="K125" s="195" t="s">
        <v>511</v>
      </c>
      <c r="L125" s="195" t="s">
        <v>511</v>
      </c>
      <c r="M125" s="206" t="s">
        <v>511</v>
      </c>
      <c r="N125" s="206" t="s">
        <v>511</v>
      </c>
      <c r="O125" s="197" t="s">
        <v>511</v>
      </c>
    </row>
    <row r="126" spans="1:15" ht="15">
      <c r="A126" s="182" t="s">
        <v>142</v>
      </c>
      <c r="B126" s="174">
        <v>0.73</v>
      </c>
      <c r="C126" s="175">
        <v>120127</v>
      </c>
      <c r="D126" s="176" t="s">
        <v>511</v>
      </c>
      <c r="E126" s="176" t="s">
        <v>511</v>
      </c>
      <c r="F126" s="176" t="s">
        <v>511</v>
      </c>
      <c r="G126" s="176" t="s">
        <v>511</v>
      </c>
      <c r="H126" s="175" t="s">
        <v>511</v>
      </c>
      <c r="I126" s="175" t="s">
        <v>511</v>
      </c>
      <c r="J126" s="175" t="s">
        <v>511</v>
      </c>
      <c r="K126" s="175" t="s">
        <v>511</v>
      </c>
      <c r="L126" s="175" t="s">
        <v>511</v>
      </c>
      <c r="M126" s="179" t="s">
        <v>511</v>
      </c>
      <c r="N126" s="179" t="s">
        <v>511</v>
      </c>
      <c r="O126" s="180" t="s">
        <v>511</v>
      </c>
    </row>
    <row r="127" spans="1:15" ht="15">
      <c r="A127" s="182" t="s">
        <v>144</v>
      </c>
      <c r="B127" s="174">
        <v>0.28</v>
      </c>
      <c r="C127" s="195" t="s">
        <v>511</v>
      </c>
      <c r="D127" s="195" t="s">
        <v>511</v>
      </c>
      <c r="E127" s="195" t="s">
        <v>511</v>
      </c>
      <c r="F127" s="195" t="s">
        <v>511</v>
      </c>
      <c r="G127" s="195" t="s">
        <v>511</v>
      </c>
      <c r="H127" s="195" t="s">
        <v>511</v>
      </c>
      <c r="I127" s="195" t="s">
        <v>511</v>
      </c>
      <c r="J127" s="195" t="s">
        <v>511</v>
      </c>
      <c r="K127" s="195" t="s">
        <v>511</v>
      </c>
      <c r="L127" s="195" t="s">
        <v>511</v>
      </c>
      <c r="M127" s="206" t="s">
        <v>511</v>
      </c>
      <c r="N127" s="206" t="s">
        <v>511</v>
      </c>
      <c r="O127" s="197" t="s">
        <v>511</v>
      </c>
    </row>
    <row r="128" spans="1:15" ht="15">
      <c r="A128" s="182" t="s">
        <v>145</v>
      </c>
      <c r="B128" s="174">
        <v>0.58</v>
      </c>
      <c r="C128" s="195" t="s">
        <v>511</v>
      </c>
      <c r="D128" s="195" t="s">
        <v>511</v>
      </c>
      <c r="E128" s="195" t="s">
        <v>511</v>
      </c>
      <c r="F128" s="195" t="s">
        <v>511</v>
      </c>
      <c r="G128" s="195" t="s">
        <v>511</v>
      </c>
      <c r="H128" s="195" t="s">
        <v>511</v>
      </c>
      <c r="I128" s="195" t="s">
        <v>511</v>
      </c>
      <c r="J128" s="195" t="s">
        <v>511</v>
      </c>
      <c r="K128" s="195" t="s">
        <v>511</v>
      </c>
      <c r="L128" s="195" t="s">
        <v>511</v>
      </c>
      <c r="M128" s="206" t="s">
        <v>511</v>
      </c>
      <c r="N128" s="206" t="s">
        <v>511</v>
      </c>
      <c r="O128" s="197" t="s">
        <v>511</v>
      </c>
    </row>
    <row r="129" spans="1:15" ht="15">
      <c r="A129" s="182" t="s">
        <v>147</v>
      </c>
      <c r="B129" s="174">
        <v>0.081</v>
      </c>
      <c r="C129" s="195" t="s">
        <v>511</v>
      </c>
      <c r="D129" s="195" t="s">
        <v>511</v>
      </c>
      <c r="E129" s="195" t="s">
        <v>511</v>
      </c>
      <c r="F129" s="195" t="s">
        <v>511</v>
      </c>
      <c r="G129" s="195" t="s">
        <v>511</v>
      </c>
      <c r="H129" s="195" t="s">
        <v>511</v>
      </c>
      <c r="I129" s="195" t="s">
        <v>511</v>
      </c>
      <c r="J129" s="195" t="s">
        <v>511</v>
      </c>
      <c r="K129" s="195" t="s">
        <v>511</v>
      </c>
      <c r="L129" s="195" t="s">
        <v>511</v>
      </c>
      <c r="M129" s="206" t="s">
        <v>511</v>
      </c>
      <c r="N129" s="206" t="s">
        <v>511</v>
      </c>
      <c r="O129" s="197" t="s">
        <v>511</v>
      </c>
    </row>
    <row r="130" spans="1:15" ht="15">
      <c r="A130" s="182" t="s">
        <v>149</v>
      </c>
      <c r="B130" s="174">
        <v>94</v>
      </c>
      <c r="C130" s="195" t="s">
        <v>511</v>
      </c>
      <c r="D130" s="195" t="s">
        <v>511</v>
      </c>
      <c r="E130" s="195" t="s">
        <v>511</v>
      </c>
      <c r="F130" s="195" t="s">
        <v>511</v>
      </c>
      <c r="G130" s="195" t="s">
        <v>511</v>
      </c>
      <c r="H130" s="195" t="s">
        <v>511</v>
      </c>
      <c r="I130" s="195" t="s">
        <v>511</v>
      </c>
      <c r="J130" s="195" t="s">
        <v>511</v>
      </c>
      <c r="K130" s="195" t="s">
        <v>511</v>
      </c>
      <c r="L130" s="195" t="s">
        <v>511</v>
      </c>
      <c r="M130" s="206" t="s">
        <v>511</v>
      </c>
      <c r="N130" s="206" t="s">
        <v>511</v>
      </c>
      <c r="O130" s="197" t="s">
        <v>511</v>
      </c>
    </row>
    <row r="131" spans="1:15" ht="15">
      <c r="A131" s="182" t="s">
        <v>180</v>
      </c>
      <c r="B131" s="174">
        <v>150</v>
      </c>
      <c r="C131" s="195" t="s">
        <v>511</v>
      </c>
      <c r="D131" s="195" t="s">
        <v>511</v>
      </c>
      <c r="E131" s="195" t="s">
        <v>511</v>
      </c>
      <c r="F131" s="195" t="s">
        <v>511</v>
      </c>
      <c r="G131" s="195" t="s">
        <v>511</v>
      </c>
      <c r="H131" s="195" t="s">
        <v>511</v>
      </c>
      <c r="I131" s="195" t="s">
        <v>511</v>
      </c>
      <c r="J131" s="195" t="s">
        <v>511</v>
      </c>
      <c r="K131" s="195" t="s">
        <v>511</v>
      </c>
      <c r="L131" s="195" t="s">
        <v>511</v>
      </c>
      <c r="M131" s="195" t="s">
        <v>511</v>
      </c>
      <c r="N131" s="206" t="s">
        <v>511</v>
      </c>
      <c r="O131" s="197" t="s">
        <v>511</v>
      </c>
    </row>
    <row r="132" spans="1:15" ht="15">
      <c r="A132" s="182" t="s">
        <v>167</v>
      </c>
      <c r="B132" s="174">
        <v>0.005</v>
      </c>
      <c r="C132" s="195" t="s">
        <v>511</v>
      </c>
      <c r="D132" s="195" t="s">
        <v>511</v>
      </c>
      <c r="E132" s="195" t="s">
        <v>511</v>
      </c>
      <c r="F132" s="195" t="s">
        <v>511</v>
      </c>
      <c r="G132" s="195" t="s">
        <v>511</v>
      </c>
      <c r="H132" s="195" t="s">
        <v>511</v>
      </c>
      <c r="I132" s="195" t="s">
        <v>511</v>
      </c>
      <c r="J132" s="195" t="s">
        <v>511</v>
      </c>
      <c r="K132" s="195" t="s">
        <v>511</v>
      </c>
      <c r="L132" s="195" t="s">
        <v>511</v>
      </c>
      <c r="M132" s="206" t="s">
        <v>511</v>
      </c>
      <c r="N132" s="206" t="s">
        <v>511</v>
      </c>
      <c r="O132" s="197" t="s">
        <v>511</v>
      </c>
    </row>
    <row r="133" spans="1:15" ht="15">
      <c r="A133" s="182" t="s">
        <v>168</v>
      </c>
      <c r="B133" s="220">
        <v>793.5773475768514</v>
      </c>
      <c r="C133" s="175">
        <v>7440393</v>
      </c>
      <c r="D133" s="176" t="s">
        <v>511</v>
      </c>
      <c r="E133" s="176" t="s">
        <v>511</v>
      </c>
      <c r="F133" s="176" t="s">
        <v>511</v>
      </c>
      <c r="G133" s="176" t="s">
        <v>511</v>
      </c>
      <c r="H133" s="175" t="s">
        <v>511</v>
      </c>
      <c r="I133" s="183" t="s">
        <v>511</v>
      </c>
      <c r="J133" s="175" t="s">
        <v>511</v>
      </c>
      <c r="K133" s="175" t="s">
        <v>511</v>
      </c>
      <c r="L133" s="175" t="s">
        <v>511</v>
      </c>
      <c r="M133" s="179" t="s">
        <v>511</v>
      </c>
      <c r="N133" s="179" t="s">
        <v>511</v>
      </c>
      <c r="O133" s="180" t="s">
        <v>511</v>
      </c>
    </row>
    <row r="134" spans="1:15" ht="15">
      <c r="A134" s="182" t="s">
        <v>171</v>
      </c>
      <c r="B134" s="174">
        <v>0.027</v>
      </c>
      <c r="C134" s="175">
        <v>56553</v>
      </c>
      <c r="D134" s="176" t="s">
        <v>511</v>
      </c>
      <c r="E134" s="176" t="s">
        <v>511</v>
      </c>
      <c r="F134" s="176" t="s">
        <v>511</v>
      </c>
      <c r="G134" s="176" t="s">
        <v>511</v>
      </c>
      <c r="H134" s="175" t="s">
        <v>511</v>
      </c>
      <c r="I134" s="183" t="s">
        <v>511</v>
      </c>
      <c r="J134" s="183" t="s">
        <v>511</v>
      </c>
      <c r="K134" s="183" t="s">
        <v>511</v>
      </c>
      <c r="L134" s="183" t="s">
        <v>511</v>
      </c>
      <c r="M134" s="179" t="s">
        <v>511</v>
      </c>
      <c r="N134" s="179" t="s">
        <v>511</v>
      </c>
      <c r="O134" s="180" t="s">
        <v>511</v>
      </c>
    </row>
    <row r="135" spans="1:15" ht="15">
      <c r="A135" s="182" t="s">
        <v>172</v>
      </c>
      <c r="B135" s="174">
        <v>0.014</v>
      </c>
      <c r="C135" s="175">
        <v>50328</v>
      </c>
      <c r="D135" s="176" t="s">
        <v>511</v>
      </c>
      <c r="E135" s="176" t="s">
        <v>511</v>
      </c>
      <c r="F135" s="176" t="s">
        <v>511</v>
      </c>
      <c r="G135" s="176" t="s">
        <v>511</v>
      </c>
      <c r="H135" s="175" t="s">
        <v>511</v>
      </c>
      <c r="I135" s="183" t="s">
        <v>511</v>
      </c>
      <c r="J135" s="175" t="s">
        <v>511</v>
      </c>
      <c r="K135" s="175" t="s">
        <v>511</v>
      </c>
      <c r="L135" s="175" t="s">
        <v>511</v>
      </c>
      <c r="M135" s="179" t="s">
        <v>511</v>
      </c>
      <c r="N135" s="179" t="s">
        <v>511</v>
      </c>
      <c r="O135" s="180" t="s">
        <v>511</v>
      </c>
    </row>
    <row r="136" spans="1:15" ht="15">
      <c r="A136" s="182" t="s">
        <v>173</v>
      </c>
      <c r="B136" s="174">
        <v>8.6</v>
      </c>
      <c r="C136" s="195" t="s">
        <v>511</v>
      </c>
      <c r="D136" s="195" t="s">
        <v>511</v>
      </c>
      <c r="E136" s="195" t="s">
        <v>511</v>
      </c>
      <c r="F136" s="195" t="s">
        <v>511</v>
      </c>
      <c r="G136" s="195" t="s">
        <v>511</v>
      </c>
      <c r="H136" s="195" t="s">
        <v>511</v>
      </c>
      <c r="I136" s="195" t="s">
        <v>511</v>
      </c>
      <c r="J136" s="195" t="s">
        <v>511</v>
      </c>
      <c r="K136" s="195" t="s">
        <v>511</v>
      </c>
      <c r="L136" s="195" t="s">
        <v>511</v>
      </c>
      <c r="M136" s="206" t="s">
        <v>511</v>
      </c>
      <c r="N136" s="206" t="s">
        <v>511</v>
      </c>
      <c r="O136" s="197" t="s">
        <v>511</v>
      </c>
    </row>
    <row r="137" spans="1:15" ht="15">
      <c r="A137" s="182" t="s">
        <v>185</v>
      </c>
      <c r="B137" s="174">
        <v>5.3</v>
      </c>
      <c r="C137" s="175">
        <v>7440417</v>
      </c>
      <c r="D137" s="176" t="s">
        <v>511</v>
      </c>
      <c r="E137" s="176" t="s">
        <v>511</v>
      </c>
      <c r="F137" s="176" t="s">
        <v>511</v>
      </c>
      <c r="G137" s="176" t="s">
        <v>511</v>
      </c>
      <c r="H137" s="175" t="s">
        <v>511</v>
      </c>
      <c r="I137" s="183" t="s">
        <v>511</v>
      </c>
      <c r="J137" s="175" t="s">
        <v>511</v>
      </c>
      <c r="K137" s="175" t="s">
        <v>511</v>
      </c>
      <c r="L137" s="175" t="s">
        <v>511</v>
      </c>
      <c r="M137" s="179" t="s">
        <v>511</v>
      </c>
      <c r="N137" s="179" t="s">
        <v>511</v>
      </c>
      <c r="O137" s="180" t="s">
        <v>511</v>
      </c>
    </row>
    <row r="138" spans="1:15" ht="15">
      <c r="A138" s="182" t="s">
        <v>174</v>
      </c>
      <c r="B138" s="195">
        <v>0.056</v>
      </c>
      <c r="C138" s="175">
        <v>33213659</v>
      </c>
      <c r="D138" s="176" t="s">
        <v>511</v>
      </c>
      <c r="E138" s="176" t="s">
        <v>511</v>
      </c>
      <c r="F138" s="176" t="s">
        <v>511</v>
      </c>
      <c r="G138" s="176" t="s">
        <v>511</v>
      </c>
      <c r="H138" s="175" t="s">
        <v>511</v>
      </c>
      <c r="I138" s="183" t="s">
        <v>511</v>
      </c>
      <c r="J138" s="175" t="s">
        <v>511</v>
      </c>
      <c r="K138" s="175" t="s">
        <v>511</v>
      </c>
      <c r="L138" s="175" t="s">
        <v>511</v>
      </c>
      <c r="M138" s="179" t="s">
        <v>511</v>
      </c>
      <c r="N138" s="179" t="s">
        <v>511</v>
      </c>
      <c r="O138" s="180" t="s">
        <v>511</v>
      </c>
    </row>
    <row r="139" spans="1:15" ht="15">
      <c r="A139" s="182" t="s">
        <v>175</v>
      </c>
      <c r="B139" s="194">
        <v>2380</v>
      </c>
      <c r="C139" s="175">
        <v>111444</v>
      </c>
      <c r="D139" s="176" t="s">
        <v>511</v>
      </c>
      <c r="E139" s="176" t="s">
        <v>511</v>
      </c>
      <c r="F139" s="176" t="s">
        <v>511</v>
      </c>
      <c r="G139" s="176" t="s">
        <v>511</v>
      </c>
      <c r="H139" s="175" t="s">
        <v>511</v>
      </c>
      <c r="I139" s="183" t="s">
        <v>511</v>
      </c>
      <c r="J139" s="175" t="s">
        <v>511</v>
      </c>
      <c r="K139" s="175" t="s">
        <v>511</v>
      </c>
      <c r="L139" s="175" t="s">
        <v>511</v>
      </c>
      <c r="M139" s="179" t="s">
        <v>511</v>
      </c>
      <c r="N139" s="179" t="s">
        <v>511</v>
      </c>
      <c r="O139" s="180" t="s">
        <v>511</v>
      </c>
    </row>
    <row r="140" spans="1:15" ht="15">
      <c r="A140" s="182" t="s">
        <v>176</v>
      </c>
      <c r="B140" s="174">
        <v>4.6</v>
      </c>
      <c r="C140" s="195" t="s">
        <v>511</v>
      </c>
      <c r="D140" s="195" t="s">
        <v>511</v>
      </c>
      <c r="E140" s="195" t="s">
        <v>511</v>
      </c>
      <c r="F140" s="195" t="s">
        <v>511</v>
      </c>
      <c r="G140" s="195" t="s">
        <v>511</v>
      </c>
      <c r="H140" s="195" t="s">
        <v>511</v>
      </c>
      <c r="I140" s="195" t="s">
        <v>511</v>
      </c>
      <c r="J140" s="195" t="s">
        <v>511</v>
      </c>
      <c r="K140" s="195" t="s">
        <v>511</v>
      </c>
      <c r="L140" s="195" t="s">
        <v>511</v>
      </c>
      <c r="M140" s="206" t="s">
        <v>511</v>
      </c>
      <c r="N140" s="206" t="s">
        <v>511</v>
      </c>
      <c r="O140" s="197" t="s">
        <v>511</v>
      </c>
    </row>
    <row r="141" spans="1:15" ht="15">
      <c r="A141" s="182" t="s">
        <v>533</v>
      </c>
      <c r="B141" s="174">
        <v>285</v>
      </c>
      <c r="C141" s="175">
        <v>117817</v>
      </c>
      <c r="D141" s="176" t="s">
        <v>511</v>
      </c>
      <c r="E141" s="176" t="s">
        <v>511</v>
      </c>
      <c r="F141" s="176" t="s">
        <v>511</v>
      </c>
      <c r="G141" s="176" t="s">
        <v>511</v>
      </c>
      <c r="H141" s="175" t="s">
        <v>511</v>
      </c>
      <c r="I141" s="183" t="s">
        <v>511</v>
      </c>
      <c r="J141" s="175" t="s">
        <v>511</v>
      </c>
      <c r="K141" s="175" t="s">
        <v>511</v>
      </c>
      <c r="L141" s="175" t="s">
        <v>511</v>
      </c>
      <c r="M141" s="179" t="s">
        <v>511</v>
      </c>
      <c r="N141" s="179" t="s">
        <v>511</v>
      </c>
      <c r="O141" s="180" t="s">
        <v>511</v>
      </c>
    </row>
    <row r="142" spans="1:15" ht="15">
      <c r="A142" s="182" t="s">
        <v>535</v>
      </c>
      <c r="B142" s="194">
        <v>1900</v>
      </c>
      <c r="C142" s="175" t="s">
        <v>511</v>
      </c>
      <c r="D142" s="176" t="s">
        <v>511</v>
      </c>
      <c r="E142" s="176" t="s">
        <v>511</v>
      </c>
      <c r="F142" s="176" t="s">
        <v>511</v>
      </c>
      <c r="G142" s="176" t="s">
        <v>511</v>
      </c>
      <c r="H142" s="175" t="s">
        <v>511</v>
      </c>
      <c r="I142" s="183" t="s">
        <v>511</v>
      </c>
      <c r="J142" s="175" t="s">
        <v>511</v>
      </c>
      <c r="K142" s="175" t="s">
        <v>511</v>
      </c>
      <c r="L142" s="175" t="s">
        <v>511</v>
      </c>
      <c r="M142" s="179" t="s">
        <v>511</v>
      </c>
      <c r="N142" s="179" t="s">
        <v>511</v>
      </c>
      <c r="O142" s="180" t="s">
        <v>511</v>
      </c>
    </row>
    <row r="143" spans="1:15" ht="15">
      <c r="A143" s="182" t="s">
        <v>536</v>
      </c>
      <c r="B143" s="174">
        <v>5</v>
      </c>
      <c r="C143" s="195" t="s">
        <v>511</v>
      </c>
      <c r="D143" s="195" t="s">
        <v>511</v>
      </c>
      <c r="E143" s="195" t="s">
        <v>511</v>
      </c>
      <c r="F143" s="195" t="s">
        <v>511</v>
      </c>
      <c r="G143" s="195" t="s">
        <v>511</v>
      </c>
      <c r="H143" s="195" t="s">
        <v>511</v>
      </c>
      <c r="I143" s="195" t="s">
        <v>511</v>
      </c>
      <c r="J143" s="195" t="s">
        <v>511</v>
      </c>
      <c r="K143" s="195" t="s">
        <v>511</v>
      </c>
      <c r="L143" s="195" t="s">
        <v>511</v>
      </c>
      <c r="M143" s="206" t="s">
        <v>511</v>
      </c>
      <c r="N143" s="206" t="s">
        <v>511</v>
      </c>
      <c r="O143" s="197" t="s">
        <v>511</v>
      </c>
    </row>
    <row r="144" spans="1:15" ht="15">
      <c r="A144" s="200" t="s">
        <v>537</v>
      </c>
      <c r="B144" s="174">
        <v>320</v>
      </c>
      <c r="C144" s="175">
        <v>75252</v>
      </c>
      <c r="D144" s="176" t="s">
        <v>511</v>
      </c>
      <c r="E144" s="176" t="s">
        <v>511</v>
      </c>
      <c r="F144" s="176" t="s">
        <v>511</v>
      </c>
      <c r="G144" s="176" t="s">
        <v>511</v>
      </c>
      <c r="H144" s="175" t="s">
        <v>511</v>
      </c>
      <c r="I144" s="183" t="s">
        <v>511</v>
      </c>
      <c r="J144" s="175" t="s">
        <v>511</v>
      </c>
      <c r="K144" s="175" t="s">
        <v>511</v>
      </c>
      <c r="L144" s="175" t="s">
        <v>511</v>
      </c>
      <c r="M144" s="179" t="s">
        <v>511</v>
      </c>
      <c r="N144" s="179" t="s">
        <v>511</v>
      </c>
      <c r="O144" s="180" t="s">
        <v>511</v>
      </c>
    </row>
    <row r="145" spans="1:15" ht="15">
      <c r="A145" s="182" t="s">
        <v>538</v>
      </c>
      <c r="B145" s="195">
        <v>35</v>
      </c>
      <c r="C145" s="195" t="s">
        <v>511</v>
      </c>
      <c r="D145" s="195" t="s">
        <v>511</v>
      </c>
      <c r="E145" s="195" t="s">
        <v>511</v>
      </c>
      <c r="F145" s="195" t="s">
        <v>511</v>
      </c>
      <c r="G145" s="195" t="s">
        <v>511</v>
      </c>
      <c r="H145" s="195" t="s">
        <v>511</v>
      </c>
      <c r="I145" s="195" t="s">
        <v>511</v>
      </c>
      <c r="J145" s="195" t="s">
        <v>511</v>
      </c>
      <c r="K145" s="195" t="s">
        <v>511</v>
      </c>
      <c r="L145" s="195" t="s">
        <v>511</v>
      </c>
      <c r="M145" s="206" t="s">
        <v>511</v>
      </c>
      <c r="N145" s="206" t="s">
        <v>511</v>
      </c>
      <c r="O145" s="197" t="s">
        <v>511</v>
      </c>
    </row>
    <row r="146" spans="1:15" ht="15">
      <c r="A146" s="182" t="s">
        <v>181</v>
      </c>
      <c r="B146" s="221">
        <v>5</v>
      </c>
      <c r="C146" s="195" t="s">
        <v>511</v>
      </c>
      <c r="D146" s="195" t="s">
        <v>511</v>
      </c>
      <c r="E146" s="195" t="s">
        <v>511</v>
      </c>
      <c r="F146" s="195" t="s">
        <v>511</v>
      </c>
      <c r="G146" s="195" t="s">
        <v>511</v>
      </c>
      <c r="H146" s="195" t="s">
        <v>511</v>
      </c>
      <c r="I146" s="195" t="s">
        <v>511</v>
      </c>
      <c r="J146" s="195" t="s">
        <v>511</v>
      </c>
      <c r="K146" s="195" t="s">
        <v>511</v>
      </c>
      <c r="L146" s="195" t="s">
        <v>511</v>
      </c>
      <c r="M146" s="206" t="s">
        <v>511</v>
      </c>
      <c r="N146" s="206" t="s">
        <v>511</v>
      </c>
      <c r="O146" s="197" t="s">
        <v>511</v>
      </c>
    </row>
    <row r="147" spans="1:15" ht="15">
      <c r="A147" s="182" t="s">
        <v>542</v>
      </c>
      <c r="B147" s="195">
        <v>0.2</v>
      </c>
      <c r="C147" s="195" t="s">
        <v>511</v>
      </c>
      <c r="D147" s="195" t="s">
        <v>511</v>
      </c>
      <c r="E147" s="195" t="s">
        <v>511</v>
      </c>
      <c r="F147" s="195" t="s">
        <v>511</v>
      </c>
      <c r="G147" s="195" t="s">
        <v>511</v>
      </c>
      <c r="H147" s="195" t="s">
        <v>511</v>
      </c>
      <c r="I147" s="195" t="s">
        <v>511</v>
      </c>
      <c r="J147" s="195" t="s">
        <v>511</v>
      </c>
      <c r="K147" s="195" t="s">
        <v>511</v>
      </c>
      <c r="L147" s="195" t="s">
        <v>511</v>
      </c>
      <c r="M147" s="206" t="s">
        <v>511</v>
      </c>
      <c r="N147" s="206" t="s">
        <v>511</v>
      </c>
      <c r="O147" s="197" t="s">
        <v>511</v>
      </c>
    </row>
    <row r="148" spans="1:15" ht="15">
      <c r="A148" s="182" t="s">
        <v>543</v>
      </c>
      <c r="B148" s="174">
        <v>1.8</v>
      </c>
      <c r="C148" s="195" t="s">
        <v>511</v>
      </c>
      <c r="D148" s="195" t="s">
        <v>511</v>
      </c>
      <c r="E148" s="195" t="s">
        <v>511</v>
      </c>
      <c r="F148" s="195" t="s">
        <v>511</v>
      </c>
      <c r="G148" s="195" t="s">
        <v>511</v>
      </c>
      <c r="H148" s="195" t="s">
        <v>511</v>
      </c>
      <c r="I148" s="195" t="s">
        <v>511</v>
      </c>
      <c r="J148" s="195" t="s">
        <v>511</v>
      </c>
      <c r="K148" s="195" t="s">
        <v>511</v>
      </c>
      <c r="L148" s="195" t="s">
        <v>511</v>
      </c>
      <c r="M148" s="206" t="s">
        <v>511</v>
      </c>
      <c r="N148" s="206" t="s">
        <v>511</v>
      </c>
      <c r="O148" s="197" t="s">
        <v>511</v>
      </c>
    </row>
    <row r="149" spans="1:15" ht="15">
      <c r="A149" s="182" t="s">
        <v>550</v>
      </c>
      <c r="B149" s="194">
        <v>1100</v>
      </c>
      <c r="C149" s="175">
        <v>75003</v>
      </c>
      <c r="D149" s="176" t="s">
        <v>511</v>
      </c>
      <c r="E149" s="176" t="s">
        <v>511</v>
      </c>
      <c r="F149" s="176" t="s">
        <v>511</v>
      </c>
      <c r="G149" s="176" t="s">
        <v>511</v>
      </c>
      <c r="H149" s="175" t="s">
        <v>511</v>
      </c>
      <c r="I149" s="183" t="s">
        <v>511</v>
      </c>
      <c r="J149" s="175" t="s">
        <v>511</v>
      </c>
      <c r="K149" s="175" t="s">
        <v>511</v>
      </c>
      <c r="L149" s="175" t="s">
        <v>511</v>
      </c>
      <c r="M149" s="179" t="s">
        <v>511</v>
      </c>
      <c r="N149" s="179" t="s">
        <v>511</v>
      </c>
      <c r="O149" s="180" t="s">
        <v>511</v>
      </c>
    </row>
    <row r="150" spans="1:15" ht="15">
      <c r="A150" s="182" t="s">
        <v>552</v>
      </c>
      <c r="B150" s="194">
        <v>5500</v>
      </c>
      <c r="C150" s="195" t="s">
        <v>511</v>
      </c>
      <c r="D150" s="195" t="s">
        <v>511</v>
      </c>
      <c r="E150" s="195" t="s">
        <v>511</v>
      </c>
      <c r="F150" s="195" t="s">
        <v>511</v>
      </c>
      <c r="G150" s="176" t="s">
        <v>511</v>
      </c>
      <c r="H150" s="195" t="s">
        <v>511</v>
      </c>
      <c r="I150" s="195" t="s">
        <v>511</v>
      </c>
      <c r="J150" s="195" t="s">
        <v>511</v>
      </c>
      <c r="K150" s="195" t="s">
        <v>511</v>
      </c>
      <c r="L150" s="195" t="s">
        <v>511</v>
      </c>
      <c r="M150" s="206" t="s">
        <v>511</v>
      </c>
      <c r="N150" s="206" t="s">
        <v>511</v>
      </c>
      <c r="O150" s="197" t="s">
        <v>511</v>
      </c>
    </row>
    <row r="151" spans="1:15" ht="15">
      <c r="A151" s="182" t="s">
        <v>553</v>
      </c>
      <c r="B151" s="174">
        <v>0.18</v>
      </c>
      <c r="C151" s="195" t="s">
        <v>511</v>
      </c>
      <c r="D151" s="195" t="s">
        <v>511</v>
      </c>
      <c r="E151" s="195" t="s">
        <v>511</v>
      </c>
      <c r="F151" s="195" t="s">
        <v>511</v>
      </c>
      <c r="G151" s="195" t="s">
        <v>511</v>
      </c>
      <c r="H151" s="195" t="s">
        <v>511</v>
      </c>
      <c r="I151" s="195" t="s">
        <v>511</v>
      </c>
      <c r="J151" s="195" t="s">
        <v>511</v>
      </c>
      <c r="K151" s="195" t="s">
        <v>511</v>
      </c>
      <c r="L151" s="195" t="s">
        <v>511</v>
      </c>
      <c r="M151" s="206" t="s">
        <v>511</v>
      </c>
      <c r="N151" s="206" t="s">
        <v>511</v>
      </c>
      <c r="O151" s="197" t="s">
        <v>511</v>
      </c>
    </row>
    <row r="152" spans="1:15" ht="15">
      <c r="A152" s="182" t="s">
        <v>554</v>
      </c>
      <c r="B152" s="174">
        <v>0.041</v>
      </c>
      <c r="C152" s="175">
        <v>2921882</v>
      </c>
      <c r="D152" s="176" t="s">
        <v>511</v>
      </c>
      <c r="E152" s="176" t="s">
        <v>511</v>
      </c>
      <c r="F152" s="176" t="s">
        <v>511</v>
      </c>
      <c r="G152" s="176" t="s">
        <v>511</v>
      </c>
      <c r="H152" s="175" t="s">
        <v>511</v>
      </c>
      <c r="I152" s="183" t="s">
        <v>511</v>
      </c>
      <c r="J152" s="175" t="s">
        <v>511</v>
      </c>
      <c r="K152" s="175" t="s">
        <v>511</v>
      </c>
      <c r="L152" s="175" t="s">
        <v>511</v>
      </c>
      <c r="M152" s="179" t="s">
        <v>511</v>
      </c>
      <c r="N152" s="179" t="s">
        <v>511</v>
      </c>
      <c r="O152" s="180" t="s">
        <v>511</v>
      </c>
    </row>
    <row r="153" spans="1:15" ht="15">
      <c r="A153" s="182" t="s">
        <v>555</v>
      </c>
      <c r="B153" s="212">
        <v>117.20643982067782</v>
      </c>
      <c r="C153" s="176" t="s">
        <v>511</v>
      </c>
      <c r="D153" s="176" t="s">
        <v>511</v>
      </c>
      <c r="E153" s="176" t="s">
        <v>511</v>
      </c>
      <c r="F153" s="176" t="s">
        <v>511</v>
      </c>
      <c r="G153" s="176" t="s">
        <v>511</v>
      </c>
      <c r="H153" s="176" t="s">
        <v>511</v>
      </c>
      <c r="I153" s="177" t="s">
        <v>511</v>
      </c>
      <c r="J153" s="176" t="s">
        <v>511</v>
      </c>
      <c r="K153" s="176" t="s">
        <v>511</v>
      </c>
      <c r="L153" s="176" t="s">
        <v>511</v>
      </c>
      <c r="M153" s="179" t="s">
        <v>511</v>
      </c>
      <c r="N153" s="179" t="s">
        <v>511</v>
      </c>
      <c r="O153" s="180" t="s">
        <v>511</v>
      </c>
    </row>
    <row r="154" spans="1:15" ht="15">
      <c r="A154" s="182" t="s">
        <v>187</v>
      </c>
      <c r="B154" s="221">
        <v>69.4</v>
      </c>
      <c r="C154" s="195" t="s">
        <v>511</v>
      </c>
      <c r="D154" s="195" t="s">
        <v>511</v>
      </c>
      <c r="E154" s="195" t="s">
        <v>511</v>
      </c>
      <c r="F154" s="195" t="s">
        <v>511</v>
      </c>
      <c r="G154" s="195" t="s">
        <v>511</v>
      </c>
      <c r="H154" s="195" t="s">
        <v>511</v>
      </c>
      <c r="I154" s="195" t="s">
        <v>511</v>
      </c>
      <c r="J154" s="195" t="s">
        <v>511</v>
      </c>
      <c r="K154" s="195" t="s">
        <v>511</v>
      </c>
      <c r="L154" s="195" t="s">
        <v>511</v>
      </c>
      <c r="M154" s="206" t="s">
        <v>511</v>
      </c>
      <c r="N154" s="206" t="s">
        <v>511</v>
      </c>
      <c r="O154" s="197" t="s">
        <v>511</v>
      </c>
    </row>
    <row r="155" spans="1:15" ht="15">
      <c r="A155" s="182" t="s">
        <v>190</v>
      </c>
      <c r="B155" s="221">
        <v>10.58</v>
      </c>
      <c r="C155" s="195" t="s">
        <v>511</v>
      </c>
      <c r="D155" s="195" t="s">
        <v>511</v>
      </c>
      <c r="E155" s="195" t="s">
        <v>511</v>
      </c>
      <c r="F155" s="195" t="s">
        <v>511</v>
      </c>
      <c r="G155" s="195" t="s">
        <v>511</v>
      </c>
      <c r="H155" s="195" t="s">
        <v>511</v>
      </c>
      <c r="I155" s="195" t="s">
        <v>511</v>
      </c>
      <c r="J155" s="195" t="s">
        <v>511</v>
      </c>
      <c r="K155" s="195" t="s">
        <v>511</v>
      </c>
      <c r="L155" s="195" t="s">
        <v>511</v>
      </c>
      <c r="M155" s="206" t="s">
        <v>511</v>
      </c>
      <c r="N155" s="206" t="s">
        <v>511</v>
      </c>
      <c r="O155" s="197" t="s">
        <v>511</v>
      </c>
    </row>
    <row r="156" spans="1:15" ht="15">
      <c r="A156" s="182" t="s">
        <v>557</v>
      </c>
      <c r="B156" s="174">
        <v>620</v>
      </c>
      <c r="C156" s="195" t="s">
        <v>511</v>
      </c>
      <c r="D156" s="195" t="s">
        <v>511</v>
      </c>
      <c r="E156" s="195" t="s">
        <v>511</v>
      </c>
      <c r="F156" s="195" t="s">
        <v>511</v>
      </c>
      <c r="G156" s="195" t="s">
        <v>511</v>
      </c>
      <c r="H156" s="195" t="s">
        <v>511</v>
      </c>
      <c r="I156" s="195" t="s">
        <v>511</v>
      </c>
      <c r="J156" s="195" t="s">
        <v>511</v>
      </c>
      <c r="K156" s="195" t="s">
        <v>511</v>
      </c>
      <c r="L156" s="195" t="s">
        <v>511</v>
      </c>
      <c r="M156" s="206" t="s">
        <v>511</v>
      </c>
      <c r="N156" s="206" t="s">
        <v>511</v>
      </c>
      <c r="O156" s="197" t="s">
        <v>511</v>
      </c>
    </row>
    <row r="157" spans="1:15" ht="15">
      <c r="A157" s="182" t="s">
        <v>561</v>
      </c>
      <c r="B157" s="212">
        <v>15.05</v>
      </c>
      <c r="C157" s="195" t="s">
        <v>511</v>
      </c>
      <c r="D157" s="195" t="s">
        <v>511</v>
      </c>
      <c r="E157" s="195" t="s">
        <v>511</v>
      </c>
      <c r="F157" s="195" t="s">
        <v>511</v>
      </c>
      <c r="G157" s="195" t="s">
        <v>511</v>
      </c>
      <c r="H157" s="195" t="s">
        <v>511</v>
      </c>
      <c r="I157" s="195" t="s">
        <v>511</v>
      </c>
      <c r="J157" s="195" t="s">
        <v>511</v>
      </c>
      <c r="K157" s="195" t="s">
        <v>511</v>
      </c>
      <c r="L157" s="195" t="s">
        <v>511</v>
      </c>
      <c r="M157" s="222" t="s">
        <v>511</v>
      </c>
      <c r="N157" s="206" t="s">
        <v>511</v>
      </c>
      <c r="O157" s="197" t="s">
        <v>511</v>
      </c>
    </row>
    <row r="158" spans="1:15" ht="15">
      <c r="A158" s="182" t="s">
        <v>562</v>
      </c>
      <c r="B158" s="174">
        <v>5.2</v>
      </c>
      <c r="C158" s="195" t="s">
        <v>511</v>
      </c>
      <c r="D158" s="195" t="s">
        <v>511</v>
      </c>
      <c r="E158" s="195" t="s">
        <v>511</v>
      </c>
      <c r="F158" s="195" t="s">
        <v>511</v>
      </c>
      <c r="G158" s="195" t="s">
        <v>511</v>
      </c>
      <c r="H158" s="195" t="s">
        <v>511</v>
      </c>
      <c r="I158" s="195" t="s">
        <v>511</v>
      </c>
      <c r="J158" s="195" t="s">
        <v>511</v>
      </c>
      <c r="K158" s="195" t="s">
        <v>511</v>
      </c>
      <c r="L158" s="195" t="s">
        <v>511</v>
      </c>
      <c r="M158" s="206" t="s">
        <v>511</v>
      </c>
      <c r="N158" s="206" t="s">
        <v>511</v>
      </c>
      <c r="O158" s="197" t="s">
        <v>511</v>
      </c>
    </row>
    <row r="159" spans="1:15" ht="15">
      <c r="A159" s="200" t="s">
        <v>565</v>
      </c>
      <c r="B159" s="195">
        <v>0.1</v>
      </c>
      <c r="C159" s="175">
        <v>8065483</v>
      </c>
      <c r="D159" s="176" t="s">
        <v>511</v>
      </c>
      <c r="E159" s="176" t="s">
        <v>511</v>
      </c>
      <c r="F159" s="176" t="s">
        <v>511</v>
      </c>
      <c r="G159" s="176" t="s">
        <v>511</v>
      </c>
      <c r="H159" s="175" t="s">
        <v>511</v>
      </c>
      <c r="I159" s="175" t="s">
        <v>511</v>
      </c>
      <c r="J159" s="175" t="s">
        <v>511</v>
      </c>
      <c r="K159" s="175" t="s">
        <v>511</v>
      </c>
      <c r="L159" s="175" t="s">
        <v>511</v>
      </c>
      <c r="M159" s="179" t="s">
        <v>511</v>
      </c>
      <c r="N159" s="179" t="s">
        <v>511</v>
      </c>
      <c r="O159" s="180" t="s">
        <v>511</v>
      </c>
    </row>
    <row r="160" spans="1:15" ht="15">
      <c r="A160" s="182" t="s">
        <v>568</v>
      </c>
      <c r="B160" s="174">
        <v>10</v>
      </c>
      <c r="C160" s="195" t="s">
        <v>511</v>
      </c>
      <c r="D160" s="195" t="s">
        <v>511</v>
      </c>
      <c r="E160" s="195" t="s">
        <v>511</v>
      </c>
      <c r="F160" s="195" t="s">
        <v>511</v>
      </c>
      <c r="G160" s="195" t="s">
        <v>511</v>
      </c>
      <c r="H160" s="195" t="s">
        <v>511</v>
      </c>
      <c r="I160" s="195" t="s">
        <v>511</v>
      </c>
      <c r="J160" s="195" t="s">
        <v>511</v>
      </c>
      <c r="K160" s="195" t="s">
        <v>511</v>
      </c>
      <c r="L160" s="195" t="s">
        <v>511</v>
      </c>
      <c r="M160" s="206" t="s">
        <v>511</v>
      </c>
      <c r="N160" s="206" t="s">
        <v>511</v>
      </c>
      <c r="O160" s="197" t="s">
        <v>511</v>
      </c>
    </row>
    <row r="161" spans="1:15" ht="15">
      <c r="A161" s="182" t="s">
        <v>572</v>
      </c>
      <c r="B161" s="174">
        <v>110</v>
      </c>
      <c r="C161" s="175">
        <v>84662</v>
      </c>
      <c r="D161" s="176" t="s">
        <v>511</v>
      </c>
      <c r="E161" s="176" t="s">
        <v>511</v>
      </c>
      <c r="F161" s="176" t="s">
        <v>511</v>
      </c>
      <c r="G161" s="176" t="s">
        <v>511</v>
      </c>
      <c r="H161" s="175" t="s">
        <v>511</v>
      </c>
      <c r="I161" s="183" t="s">
        <v>511</v>
      </c>
      <c r="J161" s="175" t="s">
        <v>511</v>
      </c>
      <c r="K161" s="175" t="s">
        <v>511</v>
      </c>
      <c r="L161" s="175" t="s">
        <v>511</v>
      </c>
      <c r="M161" s="179" t="s">
        <v>511</v>
      </c>
      <c r="N161" s="179" t="s">
        <v>511</v>
      </c>
      <c r="O161" s="180" t="s">
        <v>511</v>
      </c>
    </row>
    <row r="162" spans="1:15" ht="15">
      <c r="A162" s="182" t="s">
        <v>573</v>
      </c>
      <c r="B162" s="174">
        <v>330</v>
      </c>
      <c r="C162" s="175">
        <v>131113</v>
      </c>
      <c r="D162" s="176" t="s">
        <v>511</v>
      </c>
      <c r="E162" s="176" t="s">
        <v>511</v>
      </c>
      <c r="F162" s="176" t="s">
        <v>511</v>
      </c>
      <c r="G162" s="176" t="s">
        <v>511</v>
      </c>
      <c r="H162" s="175" t="s">
        <v>511</v>
      </c>
      <c r="I162" s="183" t="s">
        <v>511</v>
      </c>
      <c r="J162" s="175" t="s">
        <v>511</v>
      </c>
      <c r="K162" s="175" t="s">
        <v>511</v>
      </c>
      <c r="L162" s="175" t="s">
        <v>511</v>
      </c>
      <c r="M162" s="179" t="s">
        <v>511</v>
      </c>
      <c r="N162" s="179" t="s">
        <v>511</v>
      </c>
      <c r="O162" s="180" t="s">
        <v>511</v>
      </c>
    </row>
    <row r="163" spans="1:15" ht="15">
      <c r="A163" s="182" t="s">
        <v>574</v>
      </c>
      <c r="B163" s="174">
        <v>9.7</v>
      </c>
      <c r="C163" s="175">
        <v>84742</v>
      </c>
      <c r="D163" s="176" t="s">
        <v>511</v>
      </c>
      <c r="E163" s="176" t="s">
        <v>511</v>
      </c>
      <c r="F163" s="176" t="s">
        <v>511</v>
      </c>
      <c r="G163" s="176" t="s">
        <v>511</v>
      </c>
      <c r="H163" s="175" t="s">
        <v>511</v>
      </c>
      <c r="I163" s="183" t="s">
        <v>511</v>
      </c>
      <c r="J163" s="175" t="s">
        <v>511</v>
      </c>
      <c r="K163" s="175" t="s">
        <v>511</v>
      </c>
      <c r="L163" s="175" t="s">
        <v>511</v>
      </c>
      <c r="M163" s="179" t="s">
        <v>511</v>
      </c>
      <c r="N163" s="179" t="s">
        <v>511</v>
      </c>
      <c r="O163" s="180" t="s">
        <v>511</v>
      </c>
    </row>
    <row r="164" spans="1:15" ht="15">
      <c r="A164" s="182" t="s">
        <v>579</v>
      </c>
      <c r="B164" s="191">
        <v>3.5207801336730644</v>
      </c>
      <c r="C164" s="195" t="s">
        <v>511</v>
      </c>
      <c r="D164" s="195" t="s">
        <v>511</v>
      </c>
      <c r="E164" s="195" t="s">
        <v>511</v>
      </c>
      <c r="F164" s="195" t="s">
        <v>511</v>
      </c>
      <c r="G164" s="195" t="s">
        <v>511</v>
      </c>
      <c r="H164" s="195" t="s">
        <v>511</v>
      </c>
      <c r="I164" s="195" t="s">
        <v>511</v>
      </c>
      <c r="J164" s="195" t="s">
        <v>511</v>
      </c>
      <c r="K164" s="195" t="s">
        <v>511</v>
      </c>
      <c r="L164" s="195" t="s">
        <v>511</v>
      </c>
      <c r="M164" s="206" t="s">
        <v>511</v>
      </c>
      <c r="N164" s="206" t="s">
        <v>511</v>
      </c>
      <c r="O164" s="197" t="s">
        <v>511</v>
      </c>
    </row>
    <row r="165" spans="1:15" ht="15">
      <c r="A165" s="182" t="s">
        <v>580</v>
      </c>
      <c r="B165" s="174">
        <v>0.0038</v>
      </c>
      <c r="C165" s="175">
        <v>1024573</v>
      </c>
      <c r="D165" s="176" t="s">
        <v>511</v>
      </c>
      <c r="E165" s="176" t="s">
        <v>511</v>
      </c>
      <c r="F165" s="176" t="s">
        <v>511</v>
      </c>
      <c r="G165" s="176" t="s">
        <v>511</v>
      </c>
      <c r="H165" s="175" t="s">
        <v>511</v>
      </c>
      <c r="I165" s="183" t="s">
        <v>511</v>
      </c>
      <c r="J165" s="175" t="s">
        <v>511</v>
      </c>
      <c r="K165" s="175" t="s">
        <v>511</v>
      </c>
      <c r="L165" s="175" t="s">
        <v>511</v>
      </c>
      <c r="M165" s="179" t="s">
        <v>511</v>
      </c>
      <c r="N165" s="179" t="s">
        <v>511</v>
      </c>
      <c r="O165" s="180" t="s">
        <v>511</v>
      </c>
    </row>
    <row r="166" spans="1:15" ht="15">
      <c r="A166" s="182" t="s">
        <v>584</v>
      </c>
      <c r="B166" s="174">
        <v>0.07</v>
      </c>
      <c r="C166" s="175">
        <v>77474</v>
      </c>
      <c r="D166" s="176" t="s">
        <v>511</v>
      </c>
      <c r="E166" s="176" t="s">
        <v>511</v>
      </c>
      <c r="F166" s="176" t="s">
        <v>511</v>
      </c>
      <c r="G166" s="176" t="s">
        <v>511</v>
      </c>
      <c r="H166" s="175" t="s">
        <v>511</v>
      </c>
      <c r="I166" s="183" t="s">
        <v>511</v>
      </c>
      <c r="J166" s="175" t="s">
        <v>511</v>
      </c>
      <c r="K166" s="175" t="s">
        <v>511</v>
      </c>
      <c r="L166" s="175" t="s">
        <v>511</v>
      </c>
      <c r="M166" s="179" t="s">
        <v>511</v>
      </c>
      <c r="N166" s="179" t="s">
        <v>511</v>
      </c>
      <c r="O166" s="180" t="s">
        <v>511</v>
      </c>
    </row>
    <row r="167" spans="1:15" ht="15">
      <c r="A167" s="182" t="s">
        <v>183</v>
      </c>
      <c r="B167" s="174">
        <v>250</v>
      </c>
      <c r="C167" s="195" t="s">
        <v>511</v>
      </c>
      <c r="D167" s="195" t="s">
        <v>511</v>
      </c>
      <c r="E167" s="195" t="s">
        <v>511</v>
      </c>
      <c r="F167" s="195" t="s">
        <v>511</v>
      </c>
      <c r="G167" s="195" t="s">
        <v>511</v>
      </c>
      <c r="H167" s="195" t="s">
        <v>511</v>
      </c>
      <c r="I167" s="195" t="s">
        <v>511</v>
      </c>
      <c r="J167" s="195" t="s">
        <v>511</v>
      </c>
      <c r="K167" s="195" t="s">
        <v>511</v>
      </c>
      <c r="L167" s="195" t="s">
        <v>511</v>
      </c>
      <c r="M167" s="206" t="s">
        <v>511</v>
      </c>
      <c r="N167" s="206" t="s">
        <v>511</v>
      </c>
      <c r="O167" s="197" t="s">
        <v>511</v>
      </c>
    </row>
    <row r="168" spans="1:15" ht="15">
      <c r="A168" s="182" t="s">
        <v>586</v>
      </c>
      <c r="B168" s="194">
        <v>1000</v>
      </c>
      <c r="C168" s="175">
        <v>7439896</v>
      </c>
      <c r="D168" s="176" t="s">
        <v>511</v>
      </c>
      <c r="E168" s="176" t="s">
        <v>511</v>
      </c>
      <c r="F168" s="176" t="s">
        <v>511</v>
      </c>
      <c r="G168" s="176" t="s">
        <v>511</v>
      </c>
      <c r="H168" s="175" t="s">
        <v>511</v>
      </c>
      <c r="I168" s="183" t="s">
        <v>511</v>
      </c>
      <c r="J168" s="175" t="s">
        <v>511</v>
      </c>
      <c r="K168" s="175" t="s">
        <v>511</v>
      </c>
      <c r="L168" s="175" t="s">
        <v>511</v>
      </c>
      <c r="M168" s="179" t="s">
        <v>511</v>
      </c>
      <c r="N168" s="179" t="s">
        <v>511</v>
      </c>
      <c r="O168" s="180" t="s">
        <v>511</v>
      </c>
    </row>
    <row r="169" spans="1:15" ht="15">
      <c r="A169" s="182" t="s">
        <v>591</v>
      </c>
      <c r="B169" s="221">
        <v>7</v>
      </c>
      <c r="C169" s="195" t="s">
        <v>511</v>
      </c>
      <c r="D169" s="195" t="s">
        <v>511</v>
      </c>
      <c r="E169" s="195" t="s">
        <v>511</v>
      </c>
      <c r="F169" s="195" t="s">
        <v>511</v>
      </c>
      <c r="G169" s="195" t="s">
        <v>511</v>
      </c>
      <c r="H169" s="195" t="s">
        <v>511</v>
      </c>
      <c r="I169" s="195" t="s">
        <v>511</v>
      </c>
      <c r="J169" s="195" t="s">
        <v>511</v>
      </c>
      <c r="K169" s="195" t="s">
        <v>511</v>
      </c>
      <c r="L169" s="195" t="s">
        <v>511</v>
      </c>
      <c r="M169" s="206" t="s">
        <v>511</v>
      </c>
      <c r="N169" s="206" t="s">
        <v>511</v>
      </c>
      <c r="O169" s="197" t="s">
        <v>511</v>
      </c>
    </row>
    <row r="170" spans="1:15" ht="15">
      <c r="A170" s="182" t="s">
        <v>592</v>
      </c>
      <c r="B170" s="174">
        <v>96</v>
      </c>
      <c r="C170" s="195" t="s">
        <v>511</v>
      </c>
      <c r="D170" s="195" t="s">
        <v>511</v>
      </c>
      <c r="E170" s="195" t="s">
        <v>511</v>
      </c>
      <c r="F170" s="195" t="s">
        <v>511</v>
      </c>
      <c r="G170" s="195" t="s">
        <v>511</v>
      </c>
      <c r="H170" s="195" t="s">
        <v>511</v>
      </c>
      <c r="I170" s="195" t="s">
        <v>511</v>
      </c>
      <c r="J170" s="195" t="s">
        <v>511</v>
      </c>
      <c r="K170" s="195" t="s">
        <v>511</v>
      </c>
      <c r="L170" s="195" t="s">
        <v>511</v>
      </c>
      <c r="M170" s="206" t="s">
        <v>511</v>
      </c>
      <c r="N170" s="206" t="s">
        <v>511</v>
      </c>
      <c r="O170" s="197" t="s">
        <v>511</v>
      </c>
    </row>
    <row r="171" spans="1:15" ht="15">
      <c r="A171" s="182" t="s">
        <v>593</v>
      </c>
      <c r="B171" s="195">
        <v>0.1</v>
      </c>
      <c r="C171" s="175">
        <v>121755</v>
      </c>
      <c r="D171" s="176" t="s">
        <v>511</v>
      </c>
      <c r="E171" s="176" t="s">
        <v>511</v>
      </c>
      <c r="F171" s="176" t="s">
        <v>511</v>
      </c>
      <c r="G171" s="176" t="s">
        <v>511</v>
      </c>
      <c r="H171" s="175" t="s">
        <v>511</v>
      </c>
      <c r="I171" s="183" t="s">
        <v>511</v>
      </c>
      <c r="J171" s="175" t="s">
        <v>511</v>
      </c>
      <c r="K171" s="175" t="s">
        <v>511</v>
      </c>
      <c r="L171" s="175" t="s">
        <v>511</v>
      </c>
      <c r="M171" s="179" t="s">
        <v>511</v>
      </c>
      <c r="N171" s="179" t="s">
        <v>511</v>
      </c>
      <c r="O171" s="180" t="s">
        <v>511</v>
      </c>
    </row>
    <row r="172" spans="1:15" ht="15">
      <c r="A172" s="182" t="s">
        <v>596</v>
      </c>
      <c r="B172" s="174">
        <v>0.012</v>
      </c>
      <c r="C172" s="195" t="s">
        <v>511</v>
      </c>
      <c r="D172" s="195" t="s">
        <v>511</v>
      </c>
      <c r="E172" s="195" t="s">
        <v>511</v>
      </c>
      <c r="F172" s="195" t="s">
        <v>511</v>
      </c>
      <c r="G172" s="195" t="s">
        <v>511</v>
      </c>
      <c r="H172" s="195" t="s">
        <v>511</v>
      </c>
      <c r="I172" s="195" t="s">
        <v>511</v>
      </c>
      <c r="J172" s="195" t="s">
        <v>511</v>
      </c>
      <c r="K172" s="195" t="s">
        <v>511</v>
      </c>
      <c r="L172" s="195" t="s">
        <v>511</v>
      </c>
      <c r="M172" s="206" t="s">
        <v>511</v>
      </c>
      <c r="N172" s="206" t="s">
        <v>511</v>
      </c>
      <c r="O172" s="197" t="s">
        <v>511</v>
      </c>
    </row>
    <row r="173" spans="1:15" ht="18">
      <c r="A173" s="182" t="s">
        <v>786</v>
      </c>
      <c r="B173" s="174">
        <v>0.008</v>
      </c>
      <c r="C173" s="195" t="s">
        <v>511</v>
      </c>
      <c r="D173" s="195" t="s">
        <v>511</v>
      </c>
      <c r="E173" s="195" t="s">
        <v>511</v>
      </c>
      <c r="F173" s="195" t="s">
        <v>511</v>
      </c>
      <c r="G173" s="195" t="s">
        <v>511</v>
      </c>
      <c r="H173" s="195" t="s">
        <v>511</v>
      </c>
      <c r="I173" s="195" t="s">
        <v>511</v>
      </c>
      <c r="J173" s="195" t="s">
        <v>511</v>
      </c>
      <c r="K173" s="195" t="s">
        <v>511</v>
      </c>
      <c r="L173" s="195" t="s">
        <v>511</v>
      </c>
      <c r="M173" s="206" t="s">
        <v>511</v>
      </c>
      <c r="N173" s="206" t="s">
        <v>511</v>
      </c>
      <c r="O173" s="197" t="s">
        <v>511</v>
      </c>
    </row>
    <row r="174" spans="1:15" ht="15">
      <c r="A174" s="182" t="s">
        <v>597</v>
      </c>
      <c r="B174" s="174">
        <v>730</v>
      </c>
      <c r="C174" s="195" t="s">
        <v>511</v>
      </c>
      <c r="D174" s="195" t="s">
        <v>511</v>
      </c>
      <c r="E174" s="195" t="s">
        <v>511</v>
      </c>
      <c r="F174" s="195" t="s">
        <v>511</v>
      </c>
      <c r="G174" s="195" t="s">
        <v>511</v>
      </c>
      <c r="H174" s="195" t="s">
        <v>511</v>
      </c>
      <c r="I174" s="195" t="s">
        <v>511</v>
      </c>
      <c r="J174" s="195" t="s">
        <v>511</v>
      </c>
      <c r="K174" s="195" t="s">
        <v>511</v>
      </c>
      <c r="L174" s="195" t="s">
        <v>511</v>
      </c>
      <c r="M174" s="206" t="s">
        <v>511</v>
      </c>
      <c r="N174" s="206" t="s">
        <v>511</v>
      </c>
      <c r="O174" s="197" t="s">
        <v>511</v>
      </c>
    </row>
    <row r="175" spans="1:15" ht="15">
      <c r="A175" s="182" t="s">
        <v>599</v>
      </c>
      <c r="B175" s="174">
        <v>7.8</v>
      </c>
      <c r="C175" s="175">
        <v>72435</v>
      </c>
      <c r="D175" s="176" t="s">
        <v>511</v>
      </c>
      <c r="E175" s="176" t="s">
        <v>511</v>
      </c>
      <c r="F175" s="176" t="s">
        <v>511</v>
      </c>
      <c r="G175" s="176" t="s">
        <v>511</v>
      </c>
      <c r="H175" s="175" t="s">
        <v>511</v>
      </c>
      <c r="I175" s="183" t="s">
        <v>511</v>
      </c>
      <c r="J175" s="175" t="s">
        <v>511</v>
      </c>
      <c r="K175" s="175" t="s">
        <v>511</v>
      </c>
      <c r="L175" s="175" t="s">
        <v>511</v>
      </c>
      <c r="M175" s="179" t="s">
        <v>511</v>
      </c>
      <c r="N175" s="179" t="s">
        <v>511</v>
      </c>
      <c r="O175" s="180" t="s">
        <v>511</v>
      </c>
    </row>
    <row r="176" spans="1:15" ht="15">
      <c r="A176" s="182" t="s">
        <v>600</v>
      </c>
      <c r="B176" s="221">
        <v>1</v>
      </c>
      <c r="C176" s="195" t="s">
        <v>511</v>
      </c>
      <c r="D176" s="195" t="s">
        <v>511</v>
      </c>
      <c r="E176" s="195" t="s">
        <v>511</v>
      </c>
      <c r="F176" s="195" t="s">
        <v>511</v>
      </c>
      <c r="G176" s="195" t="s">
        <v>511</v>
      </c>
      <c r="H176" s="195" t="s">
        <v>511</v>
      </c>
      <c r="I176" s="195" t="s">
        <v>511</v>
      </c>
      <c r="J176" s="195" t="s">
        <v>511</v>
      </c>
      <c r="K176" s="195" t="s">
        <v>511</v>
      </c>
      <c r="L176" s="195" t="s">
        <v>511</v>
      </c>
      <c r="M176" s="206" t="s">
        <v>511</v>
      </c>
      <c r="N176" s="206" t="s">
        <v>511</v>
      </c>
      <c r="O176" s="197" t="s">
        <v>511</v>
      </c>
    </row>
    <row r="177" spans="1:15" ht="15">
      <c r="A177" s="182" t="s">
        <v>601</v>
      </c>
      <c r="B177" s="195">
        <v>0.001</v>
      </c>
      <c r="C177" s="175">
        <v>2385855</v>
      </c>
      <c r="D177" s="176" t="s">
        <v>511</v>
      </c>
      <c r="E177" s="176" t="s">
        <v>511</v>
      </c>
      <c r="F177" s="176" t="s">
        <v>511</v>
      </c>
      <c r="G177" s="176" t="s">
        <v>511</v>
      </c>
      <c r="H177" s="175" t="s">
        <v>511</v>
      </c>
      <c r="I177" s="183" t="s">
        <v>511</v>
      </c>
      <c r="J177" s="175" t="s">
        <v>511</v>
      </c>
      <c r="K177" s="175" t="s">
        <v>511</v>
      </c>
      <c r="L177" s="175" t="s">
        <v>511</v>
      </c>
      <c r="M177" s="179" t="s">
        <v>511</v>
      </c>
      <c r="N177" s="179" t="s">
        <v>511</v>
      </c>
      <c r="O177" s="180" t="s">
        <v>511</v>
      </c>
    </row>
    <row r="178" spans="1:15" ht="15">
      <c r="A178" s="182" t="s">
        <v>184</v>
      </c>
      <c r="B178" s="174">
        <v>800</v>
      </c>
      <c r="C178" s="195" t="s">
        <v>511</v>
      </c>
      <c r="D178" s="195" t="s">
        <v>511</v>
      </c>
      <c r="E178" s="195" t="s">
        <v>511</v>
      </c>
      <c r="F178" s="195" t="s">
        <v>511</v>
      </c>
      <c r="G178" s="195" t="s">
        <v>511</v>
      </c>
      <c r="H178" s="195" t="s">
        <v>511</v>
      </c>
      <c r="I178" s="195" t="s">
        <v>511</v>
      </c>
      <c r="J178" s="195" t="s">
        <v>511</v>
      </c>
      <c r="K178" s="195" t="s">
        <v>511</v>
      </c>
      <c r="L178" s="195" t="s">
        <v>511</v>
      </c>
      <c r="M178" s="206" t="s">
        <v>511</v>
      </c>
      <c r="N178" s="206" t="s">
        <v>511</v>
      </c>
      <c r="O178" s="197" t="s">
        <v>511</v>
      </c>
    </row>
    <row r="179" spans="1:15" ht="15">
      <c r="A179" s="182" t="s">
        <v>604</v>
      </c>
      <c r="B179" s="212">
        <v>83.49647579506586</v>
      </c>
      <c r="C179" s="195" t="s">
        <v>511</v>
      </c>
      <c r="D179" s="195" t="s">
        <v>511</v>
      </c>
      <c r="E179" s="195" t="s">
        <v>511</v>
      </c>
      <c r="F179" s="195" t="s">
        <v>511</v>
      </c>
      <c r="G179" s="195" t="s">
        <v>511</v>
      </c>
      <c r="H179" s="195" t="s">
        <v>511</v>
      </c>
      <c r="I179" s="195" t="s">
        <v>511</v>
      </c>
      <c r="J179" s="195" t="s">
        <v>511</v>
      </c>
      <c r="K179" s="195" t="s">
        <v>511</v>
      </c>
      <c r="L179" s="195" t="s">
        <v>511</v>
      </c>
      <c r="M179" s="206" t="s">
        <v>511</v>
      </c>
      <c r="N179" s="206" t="s">
        <v>511</v>
      </c>
      <c r="O179" s="197" t="s">
        <v>511</v>
      </c>
    </row>
    <row r="180" spans="1:15" ht="15">
      <c r="A180" s="182" t="s">
        <v>606</v>
      </c>
      <c r="B180" s="174">
        <v>58.5</v>
      </c>
      <c r="C180" s="175">
        <v>62759</v>
      </c>
      <c r="D180" s="176" t="s">
        <v>511</v>
      </c>
      <c r="E180" s="176" t="s">
        <v>511</v>
      </c>
      <c r="F180" s="176" t="s">
        <v>511</v>
      </c>
      <c r="G180" s="176" t="s">
        <v>511</v>
      </c>
      <c r="H180" s="175" t="s">
        <v>511</v>
      </c>
      <c r="I180" s="183" t="s">
        <v>511</v>
      </c>
      <c r="J180" s="175" t="s">
        <v>511</v>
      </c>
      <c r="K180" s="175" t="s">
        <v>511</v>
      </c>
      <c r="L180" s="175" t="s">
        <v>511</v>
      </c>
      <c r="M180" s="179" t="s">
        <v>511</v>
      </c>
      <c r="N180" s="179" t="s">
        <v>511</v>
      </c>
      <c r="O180" s="180" t="s">
        <v>511</v>
      </c>
    </row>
    <row r="181" spans="1:15" ht="15">
      <c r="A181" s="182" t="s">
        <v>607</v>
      </c>
      <c r="B181" s="174">
        <v>0.001</v>
      </c>
      <c r="C181" s="175">
        <v>72548</v>
      </c>
      <c r="D181" s="176" t="s">
        <v>511</v>
      </c>
      <c r="E181" s="176" t="s">
        <v>511</v>
      </c>
      <c r="F181" s="176" t="s">
        <v>511</v>
      </c>
      <c r="G181" s="176" t="s">
        <v>511</v>
      </c>
      <c r="H181" s="176" t="s">
        <v>511</v>
      </c>
      <c r="I181" s="177" t="s">
        <v>511</v>
      </c>
      <c r="J181" s="176" t="s">
        <v>511</v>
      </c>
      <c r="K181" s="176" t="s">
        <v>511</v>
      </c>
      <c r="L181" s="176" t="s">
        <v>511</v>
      </c>
      <c r="M181" s="179" t="s">
        <v>511</v>
      </c>
      <c r="N181" s="179" t="s">
        <v>511</v>
      </c>
      <c r="O181" s="180" t="s">
        <v>511</v>
      </c>
    </row>
    <row r="182" spans="1:15" ht="15">
      <c r="A182" s="182" t="s">
        <v>608</v>
      </c>
      <c r="B182" s="174">
        <v>0.001</v>
      </c>
      <c r="C182" s="175">
        <v>72559</v>
      </c>
      <c r="D182" s="176" t="s">
        <v>511</v>
      </c>
      <c r="E182" s="176" t="s">
        <v>511</v>
      </c>
      <c r="F182" s="176" t="s">
        <v>511</v>
      </c>
      <c r="G182" s="176" t="s">
        <v>511</v>
      </c>
      <c r="H182" s="176" t="s">
        <v>511</v>
      </c>
      <c r="I182" s="177" t="s">
        <v>511</v>
      </c>
      <c r="J182" s="176" t="s">
        <v>511</v>
      </c>
      <c r="K182" s="176" t="s">
        <v>511</v>
      </c>
      <c r="L182" s="176" t="s">
        <v>511</v>
      </c>
      <c r="M182" s="179" t="s">
        <v>511</v>
      </c>
      <c r="N182" s="179" t="s">
        <v>511</v>
      </c>
      <c r="O182" s="180" t="s">
        <v>511</v>
      </c>
    </row>
    <row r="183" spans="1:15" ht="15">
      <c r="A183" s="182" t="s">
        <v>609</v>
      </c>
      <c r="B183" s="174">
        <v>0.001</v>
      </c>
      <c r="C183" s="175">
        <v>50293</v>
      </c>
      <c r="D183" s="176" t="s">
        <v>511</v>
      </c>
      <c r="E183" s="176" t="s">
        <v>511</v>
      </c>
      <c r="F183" s="176" t="s">
        <v>511</v>
      </c>
      <c r="G183" s="176" t="s">
        <v>511</v>
      </c>
      <c r="H183" s="176" t="s">
        <v>511</v>
      </c>
      <c r="I183" s="177" t="s">
        <v>511</v>
      </c>
      <c r="J183" s="176" t="s">
        <v>511</v>
      </c>
      <c r="K183" s="176" t="s">
        <v>511</v>
      </c>
      <c r="L183" s="176" t="s">
        <v>511</v>
      </c>
      <c r="M183" s="179" t="s">
        <v>511</v>
      </c>
      <c r="N183" s="179" t="s">
        <v>511</v>
      </c>
      <c r="O183" s="180" t="s">
        <v>511</v>
      </c>
    </row>
    <row r="184" spans="1:15" ht="15">
      <c r="A184" s="182" t="s">
        <v>610</v>
      </c>
      <c r="B184" s="174">
        <v>0.013</v>
      </c>
      <c r="C184" s="175">
        <v>56382</v>
      </c>
      <c r="D184" s="176" t="s">
        <v>511</v>
      </c>
      <c r="E184" s="176" t="s">
        <v>511</v>
      </c>
      <c r="F184" s="176" t="s">
        <v>511</v>
      </c>
      <c r="G184" s="176" t="s">
        <v>511</v>
      </c>
      <c r="H184" s="175" t="s">
        <v>511</v>
      </c>
      <c r="I184" s="183" t="s">
        <v>511</v>
      </c>
      <c r="J184" s="175" t="s">
        <v>511</v>
      </c>
      <c r="K184" s="175" t="s">
        <v>511</v>
      </c>
      <c r="L184" s="175" t="s">
        <v>511</v>
      </c>
      <c r="M184" s="179" t="s">
        <v>511</v>
      </c>
      <c r="N184" s="179" t="s">
        <v>511</v>
      </c>
      <c r="O184" s="180" t="s">
        <v>511</v>
      </c>
    </row>
    <row r="185" spans="1:15" ht="15">
      <c r="A185" s="182" t="s">
        <v>611</v>
      </c>
      <c r="B185" s="174">
        <v>0.014</v>
      </c>
      <c r="C185" s="176" t="s">
        <v>511</v>
      </c>
      <c r="D185" s="176" t="s">
        <v>511</v>
      </c>
      <c r="E185" s="176" t="s">
        <v>511</v>
      </c>
      <c r="F185" s="176" t="s">
        <v>511</v>
      </c>
      <c r="G185" s="176" t="s">
        <v>511</v>
      </c>
      <c r="H185" s="175" t="s">
        <v>511</v>
      </c>
      <c r="I185" s="183" t="s">
        <v>511</v>
      </c>
      <c r="J185" s="175" t="s">
        <v>511</v>
      </c>
      <c r="K185" s="175" t="s">
        <v>511</v>
      </c>
      <c r="L185" s="175" t="s">
        <v>511</v>
      </c>
      <c r="M185" s="179" t="s">
        <v>511</v>
      </c>
      <c r="N185" s="179" t="s">
        <v>511</v>
      </c>
      <c r="O185" s="180" t="s">
        <v>511</v>
      </c>
    </row>
    <row r="186" spans="1:15" ht="15">
      <c r="A186" s="182" t="s">
        <v>613</v>
      </c>
      <c r="B186" s="217" t="s">
        <v>614</v>
      </c>
      <c r="C186" s="175" t="s">
        <v>511</v>
      </c>
      <c r="D186" s="176" t="s">
        <v>511</v>
      </c>
      <c r="E186" s="176" t="s">
        <v>511</v>
      </c>
      <c r="F186" s="176" t="s">
        <v>511</v>
      </c>
      <c r="G186" s="176" t="s">
        <v>511</v>
      </c>
      <c r="H186" s="175" t="s">
        <v>511</v>
      </c>
      <c r="I186" s="183" t="s">
        <v>511</v>
      </c>
      <c r="J186" s="175" t="s">
        <v>511</v>
      </c>
      <c r="K186" s="175" t="s">
        <v>511</v>
      </c>
      <c r="L186" s="175" t="s">
        <v>511</v>
      </c>
      <c r="M186" s="179" t="s">
        <v>511</v>
      </c>
      <c r="N186" s="179" t="s">
        <v>511</v>
      </c>
      <c r="O186" s="180" t="s">
        <v>511</v>
      </c>
    </row>
    <row r="187" spans="1:15" ht="15">
      <c r="A187" s="182" t="s">
        <v>617</v>
      </c>
      <c r="B187" s="174">
        <v>2.4</v>
      </c>
      <c r="C187" s="175">
        <v>85018</v>
      </c>
      <c r="D187" s="176" t="s">
        <v>511</v>
      </c>
      <c r="E187" s="176" t="s">
        <v>511</v>
      </c>
      <c r="F187" s="176" t="s">
        <v>511</v>
      </c>
      <c r="G187" s="176" t="s">
        <v>511</v>
      </c>
      <c r="H187" s="175" t="s">
        <v>511</v>
      </c>
      <c r="I187" s="183" t="s">
        <v>511</v>
      </c>
      <c r="J187" s="175" t="s">
        <v>511</v>
      </c>
      <c r="K187" s="175" t="s">
        <v>511</v>
      </c>
      <c r="L187" s="175" t="s">
        <v>511</v>
      </c>
      <c r="M187" s="179" t="s">
        <v>511</v>
      </c>
      <c r="N187" s="179" t="s">
        <v>511</v>
      </c>
      <c r="O187" s="180" t="s">
        <v>511</v>
      </c>
    </row>
    <row r="188" spans="1:15" ht="15">
      <c r="A188" s="182" t="s">
        <v>619</v>
      </c>
      <c r="B188" s="174">
        <v>46</v>
      </c>
      <c r="C188" s="195" t="s">
        <v>511</v>
      </c>
      <c r="D188" s="195" t="s">
        <v>511</v>
      </c>
      <c r="E188" s="195" t="s">
        <v>511</v>
      </c>
      <c r="F188" s="195" t="s">
        <v>511</v>
      </c>
      <c r="G188" s="195" t="s">
        <v>511</v>
      </c>
      <c r="H188" s="195" t="s">
        <v>511</v>
      </c>
      <c r="I188" s="195" t="s">
        <v>511</v>
      </c>
      <c r="J188" s="195" t="s">
        <v>511</v>
      </c>
      <c r="K188" s="195" t="s">
        <v>511</v>
      </c>
      <c r="L188" s="195" t="s">
        <v>511</v>
      </c>
      <c r="M188" s="206" t="s">
        <v>511</v>
      </c>
      <c r="N188" s="206" t="s">
        <v>511</v>
      </c>
      <c r="O188" s="197" t="s">
        <v>511</v>
      </c>
    </row>
    <row r="189" spans="1:15" ht="15">
      <c r="A189" s="182" t="s">
        <v>620</v>
      </c>
      <c r="B189" s="174">
        <v>0.025</v>
      </c>
      <c r="C189" s="175">
        <v>129000</v>
      </c>
      <c r="D189" s="176" t="s">
        <v>511</v>
      </c>
      <c r="E189" s="176" t="s">
        <v>511</v>
      </c>
      <c r="F189" s="176" t="s">
        <v>511</v>
      </c>
      <c r="G189" s="176" t="s">
        <v>511</v>
      </c>
      <c r="H189" s="175" t="s">
        <v>511</v>
      </c>
      <c r="I189" s="183" t="s">
        <v>511</v>
      </c>
      <c r="J189" s="175" t="s">
        <v>511</v>
      </c>
      <c r="K189" s="175" t="s">
        <v>511</v>
      </c>
      <c r="L189" s="175" t="s">
        <v>511</v>
      </c>
      <c r="M189" s="179" t="s">
        <v>511</v>
      </c>
      <c r="N189" s="179" t="s">
        <v>511</v>
      </c>
      <c r="O189" s="180" t="s">
        <v>511</v>
      </c>
    </row>
    <row r="190" spans="1:15" ht="15">
      <c r="A190" s="182" t="s">
        <v>621</v>
      </c>
      <c r="B190" s="174">
        <v>85</v>
      </c>
      <c r="C190" s="195" t="s">
        <v>511</v>
      </c>
      <c r="D190" s="195" t="s">
        <v>511</v>
      </c>
      <c r="E190" s="195" t="s">
        <v>511</v>
      </c>
      <c r="F190" s="195" t="s">
        <v>511</v>
      </c>
      <c r="G190" s="195" t="s">
        <v>511</v>
      </c>
      <c r="H190" s="195" t="s">
        <v>511</v>
      </c>
      <c r="I190" s="195" t="s">
        <v>511</v>
      </c>
      <c r="J190" s="195" t="s">
        <v>511</v>
      </c>
      <c r="K190" s="195" t="s">
        <v>511</v>
      </c>
      <c r="L190" s="195" t="s">
        <v>511</v>
      </c>
      <c r="M190" s="206" t="s">
        <v>511</v>
      </c>
      <c r="N190" s="206" t="s">
        <v>511</v>
      </c>
      <c r="O190" s="197" t="s">
        <v>511</v>
      </c>
    </row>
    <row r="191" spans="1:15" ht="15">
      <c r="A191" s="182" t="s">
        <v>625</v>
      </c>
      <c r="B191" s="187">
        <v>9.03</v>
      </c>
      <c r="C191" s="195" t="s">
        <v>511</v>
      </c>
      <c r="D191" s="195" t="s">
        <v>511</v>
      </c>
      <c r="E191" s="195" t="s">
        <v>511</v>
      </c>
      <c r="F191" s="195" t="s">
        <v>511</v>
      </c>
      <c r="G191" s="195" t="s">
        <v>511</v>
      </c>
      <c r="H191" s="195" t="s">
        <v>511</v>
      </c>
      <c r="I191" s="195" t="s">
        <v>511</v>
      </c>
      <c r="J191" s="195" t="s">
        <v>511</v>
      </c>
      <c r="K191" s="195" t="s">
        <v>511</v>
      </c>
      <c r="L191" s="195" t="s">
        <v>511</v>
      </c>
      <c r="M191" s="179" t="s">
        <v>511</v>
      </c>
      <c r="N191" s="206" t="s">
        <v>511</v>
      </c>
      <c r="O191" s="197" t="s">
        <v>511</v>
      </c>
    </row>
    <row r="192" spans="1:15" ht="15">
      <c r="A192" s="182" t="s">
        <v>626</v>
      </c>
      <c r="B192" s="174">
        <v>30</v>
      </c>
      <c r="C192" s="195" t="s">
        <v>511</v>
      </c>
      <c r="D192" s="195" t="s">
        <v>511</v>
      </c>
      <c r="E192" s="195" t="s">
        <v>511</v>
      </c>
      <c r="F192" s="195" t="s">
        <v>511</v>
      </c>
      <c r="G192" s="195" t="s">
        <v>511</v>
      </c>
      <c r="H192" s="195" t="s">
        <v>511</v>
      </c>
      <c r="I192" s="195" t="s">
        <v>511</v>
      </c>
      <c r="J192" s="195" t="s">
        <v>511</v>
      </c>
      <c r="K192" s="195" t="s">
        <v>511</v>
      </c>
      <c r="L192" s="195" t="s">
        <v>511</v>
      </c>
      <c r="M192" s="206" t="s">
        <v>511</v>
      </c>
      <c r="N192" s="206" t="s">
        <v>511</v>
      </c>
      <c r="O192" s="197" t="s">
        <v>511</v>
      </c>
    </row>
    <row r="193" spans="1:15" ht="15">
      <c r="A193" s="182" t="s">
        <v>627</v>
      </c>
      <c r="B193" s="174">
        <v>10</v>
      </c>
      <c r="C193" s="195" t="s">
        <v>511</v>
      </c>
      <c r="D193" s="195" t="s">
        <v>511</v>
      </c>
      <c r="E193" s="195" t="s">
        <v>511</v>
      </c>
      <c r="F193" s="195" t="s">
        <v>511</v>
      </c>
      <c r="G193" s="195" t="s">
        <v>511</v>
      </c>
      <c r="H193" s="195" t="s">
        <v>511</v>
      </c>
      <c r="I193" s="195" t="s">
        <v>511</v>
      </c>
      <c r="J193" s="195" t="s">
        <v>511</v>
      </c>
      <c r="K193" s="195" t="s">
        <v>511</v>
      </c>
      <c r="L193" s="195" t="s">
        <v>511</v>
      </c>
      <c r="M193" s="206" t="s">
        <v>511</v>
      </c>
      <c r="N193" s="206" t="s">
        <v>511</v>
      </c>
      <c r="O193" s="197" t="s">
        <v>511</v>
      </c>
    </row>
    <row r="194" spans="1:15" ht="15">
      <c r="A194" s="182" t="s">
        <v>628</v>
      </c>
      <c r="B194" s="194">
        <v>8300</v>
      </c>
      <c r="C194" s="195" t="s">
        <v>511</v>
      </c>
      <c r="D194" s="195" t="s">
        <v>511</v>
      </c>
      <c r="E194" s="195" t="s">
        <v>511</v>
      </c>
      <c r="F194" s="195" t="s">
        <v>511</v>
      </c>
      <c r="G194" s="195" t="s">
        <v>511</v>
      </c>
      <c r="H194" s="195" t="s">
        <v>511</v>
      </c>
      <c r="I194" s="195" t="s">
        <v>511</v>
      </c>
      <c r="J194" s="195" t="s">
        <v>511</v>
      </c>
      <c r="K194" s="195" t="s">
        <v>511</v>
      </c>
      <c r="L194" s="195" t="s">
        <v>511</v>
      </c>
      <c r="M194" s="206" t="s">
        <v>511</v>
      </c>
      <c r="N194" s="206" t="s">
        <v>511</v>
      </c>
      <c r="O194" s="197" t="s">
        <v>511</v>
      </c>
    </row>
    <row r="195" spans="1:15" ht="15">
      <c r="A195" s="182" t="s">
        <v>629</v>
      </c>
      <c r="B195" s="174">
        <v>160</v>
      </c>
      <c r="C195" s="195" t="s">
        <v>511</v>
      </c>
      <c r="D195" s="195" t="s">
        <v>511</v>
      </c>
      <c r="E195" s="195" t="s">
        <v>511</v>
      </c>
      <c r="F195" s="195" t="s">
        <v>511</v>
      </c>
      <c r="G195" s="195" t="s">
        <v>511</v>
      </c>
      <c r="H195" s="195" t="s">
        <v>511</v>
      </c>
      <c r="I195" s="195" t="s">
        <v>511</v>
      </c>
      <c r="J195" s="195" t="s">
        <v>511</v>
      </c>
      <c r="K195" s="195" t="s">
        <v>511</v>
      </c>
      <c r="L195" s="195" t="s">
        <v>511</v>
      </c>
      <c r="M195" s="206" t="s">
        <v>511</v>
      </c>
      <c r="N195" s="206" t="s">
        <v>511</v>
      </c>
      <c r="O195" s="197" t="s">
        <v>511</v>
      </c>
    </row>
    <row r="196" spans="1:15" ht="15">
      <c r="A196" s="182" t="s">
        <v>630</v>
      </c>
      <c r="B196" s="174">
        <v>1.6</v>
      </c>
      <c r="C196" s="195" t="s">
        <v>511</v>
      </c>
      <c r="D196" s="195" t="s">
        <v>511</v>
      </c>
      <c r="E196" s="195" t="s">
        <v>511</v>
      </c>
      <c r="F196" s="195" t="s">
        <v>511</v>
      </c>
      <c r="G196" s="195" t="s">
        <v>511</v>
      </c>
      <c r="H196" s="195" t="s">
        <v>511</v>
      </c>
      <c r="I196" s="195" t="s">
        <v>511</v>
      </c>
      <c r="J196" s="195" t="s">
        <v>511</v>
      </c>
      <c r="K196" s="195" t="s">
        <v>511</v>
      </c>
      <c r="L196" s="195" t="s">
        <v>511</v>
      </c>
      <c r="M196" s="196" t="s">
        <v>511</v>
      </c>
      <c r="N196" s="196" t="s">
        <v>511</v>
      </c>
      <c r="O196" s="197" t="s">
        <v>511</v>
      </c>
    </row>
    <row r="197" spans="1:15" ht="15">
      <c r="A197" s="182" t="s">
        <v>632</v>
      </c>
      <c r="B197" s="194">
        <v>11000</v>
      </c>
      <c r="C197" s="195" t="s">
        <v>511</v>
      </c>
      <c r="D197" s="195" t="s">
        <v>511</v>
      </c>
      <c r="E197" s="195" t="s">
        <v>511</v>
      </c>
      <c r="F197" s="195" t="s">
        <v>511</v>
      </c>
      <c r="G197" s="195" t="s">
        <v>511</v>
      </c>
      <c r="H197" s="195" t="s">
        <v>511</v>
      </c>
      <c r="I197" s="195" t="s">
        <v>511</v>
      </c>
      <c r="J197" s="195" t="s">
        <v>511</v>
      </c>
      <c r="K197" s="195" t="s">
        <v>511</v>
      </c>
      <c r="L197" s="195" t="s">
        <v>511</v>
      </c>
      <c r="M197" s="196" t="s">
        <v>511</v>
      </c>
      <c r="N197" s="196" t="s">
        <v>511</v>
      </c>
      <c r="O197" s="197" t="s">
        <v>511</v>
      </c>
    </row>
    <row r="198" spans="1:15" ht="15">
      <c r="A198" s="182" t="s">
        <v>634</v>
      </c>
      <c r="B198" s="174">
        <v>73</v>
      </c>
      <c r="C198" s="195" t="s">
        <v>511</v>
      </c>
      <c r="D198" s="195" t="s">
        <v>511</v>
      </c>
      <c r="E198" s="195" t="s">
        <v>511</v>
      </c>
      <c r="F198" s="195" t="s">
        <v>511</v>
      </c>
      <c r="G198" s="195" t="s">
        <v>511</v>
      </c>
      <c r="H198" s="195" t="s">
        <v>511</v>
      </c>
      <c r="I198" s="195" t="s">
        <v>511</v>
      </c>
      <c r="J198" s="195" t="s">
        <v>511</v>
      </c>
      <c r="K198" s="195" t="s">
        <v>511</v>
      </c>
      <c r="L198" s="195" t="s">
        <v>511</v>
      </c>
      <c r="M198" s="196" t="s">
        <v>511</v>
      </c>
      <c r="N198" s="196" t="s">
        <v>511</v>
      </c>
      <c r="O198" s="197" t="s">
        <v>511</v>
      </c>
    </row>
    <row r="199" spans="1:15" ht="15">
      <c r="A199" s="200" t="s">
        <v>635</v>
      </c>
      <c r="B199" s="174">
        <v>100</v>
      </c>
      <c r="C199" s="195" t="s">
        <v>511</v>
      </c>
      <c r="D199" s="195" t="s">
        <v>511</v>
      </c>
      <c r="E199" s="195" t="s">
        <v>511</v>
      </c>
      <c r="F199" s="195" t="s">
        <v>511</v>
      </c>
      <c r="G199" s="195" t="s">
        <v>511</v>
      </c>
      <c r="H199" s="195" t="s">
        <v>511</v>
      </c>
      <c r="I199" s="195" t="s">
        <v>511</v>
      </c>
      <c r="J199" s="195" t="s">
        <v>511</v>
      </c>
      <c r="K199" s="195" t="s">
        <v>511</v>
      </c>
      <c r="L199" s="195" t="s">
        <v>511</v>
      </c>
      <c r="M199" s="196" t="s">
        <v>511</v>
      </c>
      <c r="N199" s="196" t="s">
        <v>511</v>
      </c>
      <c r="O199" s="197" t="s">
        <v>511</v>
      </c>
    </row>
    <row r="200" spans="1:15" ht="15">
      <c r="A200" s="182" t="s">
        <v>636</v>
      </c>
      <c r="B200" s="174">
        <v>140</v>
      </c>
      <c r="C200" s="175">
        <v>108883</v>
      </c>
      <c r="D200" s="176" t="s">
        <v>511</v>
      </c>
      <c r="E200" s="176" t="s">
        <v>511</v>
      </c>
      <c r="F200" s="176" t="s">
        <v>511</v>
      </c>
      <c r="G200" s="176" t="s">
        <v>511</v>
      </c>
      <c r="H200" s="175" t="s">
        <v>511</v>
      </c>
      <c r="I200" s="183" t="s">
        <v>511</v>
      </c>
      <c r="J200" s="175" t="s">
        <v>511</v>
      </c>
      <c r="K200" s="175" t="s">
        <v>511</v>
      </c>
      <c r="L200" s="175" t="s">
        <v>511</v>
      </c>
      <c r="M200" s="193" t="s">
        <v>511</v>
      </c>
      <c r="N200" s="193" t="s">
        <v>511</v>
      </c>
      <c r="O200" s="180" t="s">
        <v>511</v>
      </c>
    </row>
    <row r="201" spans="1:15" ht="15">
      <c r="A201" s="182" t="s">
        <v>638</v>
      </c>
      <c r="B201" s="174">
        <v>0.24</v>
      </c>
      <c r="C201" s="195" t="s">
        <v>511</v>
      </c>
      <c r="D201" s="195" t="s">
        <v>511</v>
      </c>
      <c r="E201" s="195" t="s">
        <v>511</v>
      </c>
      <c r="F201" s="195" t="s">
        <v>511</v>
      </c>
      <c r="G201" s="195" t="s">
        <v>511</v>
      </c>
      <c r="H201" s="195" t="s">
        <v>511</v>
      </c>
      <c r="I201" s="195" t="s">
        <v>511</v>
      </c>
      <c r="J201" s="195" t="s">
        <v>511</v>
      </c>
      <c r="K201" s="195" t="s">
        <v>511</v>
      </c>
      <c r="L201" s="195" t="s">
        <v>511</v>
      </c>
      <c r="M201" s="196" t="s">
        <v>511</v>
      </c>
      <c r="N201" s="196" t="s">
        <v>511</v>
      </c>
      <c r="O201" s="197" t="s">
        <v>511</v>
      </c>
    </row>
    <row r="202" spans="1:15" ht="15">
      <c r="A202" s="182" t="s">
        <v>639</v>
      </c>
      <c r="B202" s="174">
        <v>0.2</v>
      </c>
      <c r="C202" s="195" t="s">
        <v>511</v>
      </c>
      <c r="D202" s="195" t="s">
        <v>511</v>
      </c>
      <c r="E202" s="195" t="s">
        <v>511</v>
      </c>
      <c r="F202" s="195" t="s">
        <v>511</v>
      </c>
      <c r="G202" s="195" t="s">
        <v>511</v>
      </c>
      <c r="H202" s="195" t="s">
        <v>511</v>
      </c>
      <c r="I202" s="195" t="s">
        <v>511</v>
      </c>
      <c r="J202" s="195" t="s">
        <v>511</v>
      </c>
      <c r="K202" s="195" t="s">
        <v>511</v>
      </c>
      <c r="L202" s="195" t="s">
        <v>511</v>
      </c>
      <c r="M202" s="206" t="s">
        <v>511</v>
      </c>
      <c r="N202" s="206" t="s">
        <v>511</v>
      </c>
      <c r="O202" s="197" t="s">
        <v>511</v>
      </c>
    </row>
    <row r="203" spans="1:15" ht="15">
      <c r="A203" s="182" t="s">
        <v>182</v>
      </c>
      <c r="B203" s="174">
        <v>2.6</v>
      </c>
      <c r="C203" s="195" t="s">
        <v>511</v>
      </c>
      <c r="D203" s="195" t="s">
        <v>511</v>
      </c>
      <c r="E203" s="195" t="s">
        <v>511</v>
      </c>
      <c r="F203" s="195" t="s">
        <v>511</v>
      </c>
      <c r="G203" s="195" t="s">
        <v>511</v>
      </c>
      <c r="H203" s="195" t="s">
        <v>511</v>
      </c>
      <c r="I203" s="195" t="s">
        <v>511</v>
      </c>
      <c r="J203" s="195" t="s">
        <v>511</v>
      </c>
      <c r="K203" s="195" t="s">
        <v>511</v>
      </c>
      <c r="L203" s="195" t="s">
        <v>511</v>
      </c>
      <c r="M203" s="206" t="s">
        <v>511</v>
      </c>
      <c r="N203" s="206" t="s">
        <v>511</v>
      </c>
      <c r="O203" s="197" t="s">
        <v>511</v>
      </c>
    </row>
    <row r="204" spans="1:15" ht="15">
      <c r="A204" s="182" t="s">
        <v>641</v>
      </c>
      <c r="B204" s="174">
        <v>930</v>
      </c>
      <c r="C204" s="175">
        <v>75014</v>
      </c>
      <c r="D204" s="176" t="s">
        <v>511</v>
      </c>
      <c r="E204" s="176" t="s">
        <v>511</v>
      </c>
      <c r="F204" s="176" t="s">
        <v>511</v>
      </c>
      <c r="G204" s="176" t="s">
        <v>511</v>
      </c>
      <c r="H204" s="176" t="s">
        <v>511</v>
      </c>
      <c r="I204" s="177" t="s">
        <v>511</v>
      </c>
      <c r="J204" s="176" t="s">
        <v>511</v>
      </c>
      <c r="K204" s="176" t="s">
        <v>511</v>
      </c>
      <c r="L204" s="176" t="s">
        <v>511</v>
      </c>
      <c r="M204" s="179" t="s">
        <v>511</v>
      </c>
      <c r="N204" s="179" t="s">
        <v>511</v>
      </c>
      <c r="O204" s="180" t="s">
        <v>511</v>
      </c>
    </row>
    <row r="205" spans="1:15" ht="15.75" thickBot="1">
      <c r="A205" s="223" t="s">
        <v>644</v>
      </c>
      <c r="B205" s="224">
        <v>192.5051979508566</v>
      </c>
      <c r="C205" s="225" t="s">
        <v>511</v>
      </c>
      <c r="D205" s="225" t="s">
        <v>511</v>
      </c>
      <c r="E205" s="225" t="s">
        <v>511</v>
      </c>
      <c r="F205" s="225" t="s">
        <v>511</v>
      </c>
      <c r="G205" s="225" t="s">
        <v>511</v>
      </c>
      <c r="H205" s="225" t="s">
        <v>511</v>
      </c>
      <c r="I205" s="225" t="s">
        <v>511</v>
      </c>
      <c r="J205" s="225" t="s">
        <v>511</v>
      </c>
      <c r="K205" s="225" t="s">
        <v>511</v>
      </c>
      <c r="L205" s="225" t="s">
        <v>511</v>
      </c>
      <c r="M205" s="226" t="s">
        <v>511</v>
      </c>
      <c r="N205" s="227" t="s">
        <v>511</v>
      </c>
      <c r="O205" s="228" t="s">
        <v>511</v>
      </c>
    </row>
    <row r="206" spans="1:15" ht="13.5" customHeight="1" thickTop="1">
      <c r="A206" s="229"/>
      <c r="B206" s="230"/>
      <c r="C206" s="230"/>
      <c r="D206" s="230"/>
      <c r="E206" s="230"/>
      <c r="F206" s="230"/>
      <c r="G206" s="230"/>
      <c r="H206" s="230"/>
      <c r="I206" s="230"/>
      <c r="J206" s="230"/>
      <c r="K206" s="230"/>
      <c r="L206" s="230"/>
      <c r="M206" s="231"/>
      <c r="N206" s="231"/>
      <c r="O206" s="232"/>
    </row>
    <row r="207" spans="1:15" ht="15">
      <c r="A207" s="233" t="s">
        <v>222</v>
      </c>
      <c r="B207" s="234"/>
      <c r="C207" s="235"/>
      <c r="D207" s="235"/>
      <c r="E207" s="235"/>
      <c r="F207" s="235"/>
      <c r="G207" s="235"/>
      <c r="H207" s="235"/>
      <c r="I207" s="235"/>
      <c r="J207" s="235"/>
      <c r="K207" s="235"/>
      <c r="L207" s="236"/>
      <c r="M207" s="237"/>
      <c r="N207" s="237"/>
      <c r="O207" s="238"/>
    </row>
    <row r="208" spans="1:15" ht="18">
      <c r="A208" s="233" t="s">
        <v>787</v>
      </c>
      <c r="B208" s="235"/>
      <c r="C208" s="235"/>
      <c r="D208" s="235"/>
      <c r="E208" s="235"/>
      <c r="F208" s="235"/>
      <c r="G208" s="235"/>
      <c r="H208" s="235"/>
      <c r="I208" s="235"/>
      <c r="J208" s="235"/>
      <c r="K208" s="235"/>
      <c r="L208" s="236"/>
      <c r="M208" s="237"/>
      <c r="N208" s="237"/>
      <c r="O208" s="238"/>
    </row>
    <row r="209" spans="1:15" ht="15">
      <c r="A209" s="233" t="s">
        <v>362</v>
      </c>
      <c r="B209" s="235"/>
      <c r="C209" s="235"/>
      <c r="D209" s="235"/>
      <c r="E209" s="235"/>
      <c r="F209" s="235"/>
      <c r="G209" s="235"/>
      <c r="H209" s="235"/>
      <c r="I209" s="235"/>
      <c r="J209" s="235"/>
      <c r="K209" s="235"/>
      <c r="L209" s="236"/>
      <c r="M209" s="237"/>
      <c r="N209" s="237"/>
      <c r="O209" s="238"/>
    </row>
    <row r="210" spans="1:15" ht="18">
      <c r="A210" s="239" t="s">
        <v>788</v>
      </c>
      <c r="B210" s="234"/>
      <c r="C210" s="235"/>
      <c r="D210" s="235"/>
      <c r="E210" s="235"/>
      <c r="F210" s="235"/>
      <c r="G210" s="235"/>
      <c r="H210" s="235"/>
      <c r="I210" s="235"/>
      <c r="J210" s="235"/>
      <c r="K210" s="235"/>
      <c r="L210" s="236"/>
      <c r="M210" s="237"/>
      <c r="N210" s="237"/>
      <c r="O210" s="238"/>
    </row>
    <row r="211" spans="1:15" ht="18">
      <c r="A211" s="239" t="s">
        <v>789</v>
      </c>
      <c r="B211" s="240"/>
      <c r="C211" s="235"/>
      <c r="D211" s="235"/>
      <c r="E211" s="235"/>
      <c r="F211" s="235"/>
      <c r="G211" s="235"/>
      <c r="H211" s="235"/>
      <c r="I211" s="235"/>
      <c r="J211" s="235"/>
      <c r="K211" s="235"/>
      <c r="L211" s="236"/>
      <c r="M211" s="237"/>
      <c r="N211" s="237"/>
      <c r="O211" s="238"/>
    </row>
    <row r="212" spans="1:15" ht="18">
      <c r="A212" s="241" t="s">
        <v>790</v>
      </c>
      <c r="B212" s="240"/>
      <c r="C212" s="235"/>
      <c r="D212" s="235"/>
      <c r="E212" s="235"/>
      <c r="F212" s="235"/>
      <c r="G212" s="235"/>
      <c r="H212" s="235"/>
      <c r="I212" s="235"/>
      <c r="J212" s="235"/>
      <c r="K212" s="235"/>
      <c r="L212" s="236"/>
      <c r="M212" s="237"/>
      <c r="N212" s="237"/>
      <c r="O212" s="238"/>
    </row>
    <row r="213" spans="1:15" ht="15">
      <c r="A213" s="233" t="s">
        <v>488</v>
      </c>
      <c r="B213" s="235"/>
      <c r="C213" s="235"/>
      <c r="D213" s="235"/>
      <c r="E213" s="235"/>
      <c r="F213" s="235"/>
      <c r="G213" s="235"/>
      <c r="H213" s="235"/>
      <c r="I213" s="235"/>
      <c r="J213" s="235"/>
      <c r="K213" s="235"/>
      <c r="L213" s="236"/>
      <c r="M213" s="237"/>
      <c r="N213" s="237"/>
      <c r="O213" s="238"/>
    </row>
    <row r="214" spans="1:15" ht="15">
      <c r="A214" s="233" t="s">
        <v>791</v>
      </c>
      <c r="B214" s="235"/>
      <c r="C214" s="235"/>
      <c r="D214" s="235"/>
      <c r="E214" s="235"/>
      <c r="F214" s="235"/>
      <c r="G214" s="235"/>
      <c r="H214" s="235"/>
      <c r="I214" s="235"/>
      <c r="J214" s="235"/>
      <c r="K214" s="235"/>
      <c r="L214" s="236"/>
      <c r="M214" s="237"/>
      <c r="N214" s="237"/>
      <c r="O214" s="238"/>
    </row>
    <row r="215" spans="1:15" ht="15">
      <c r="A215" s="233" t="s">
        <v>792</v>
      </c>
      <c r="B215" s="235"/>
      <c r="C215" s="235"/>
      <c r="D215" s="235"/>
      <c r="E215" s="235"/>
      <c r="F215" s="235"/>
      <c r="G215" s="235"/>
      <c r="H215" s="235"/>
      <c r="I215" s="235"/>
      <c r="J215" s="235"/>
      <c r="K215" s="235"/>
      <c r="L215" s="236"/>
      <c r="M215" s="237"/>
      <c r="N215" s="237"/>
      <c r="O215" s="238"/>
    </row>
    <row r="216" spans="1:15" ht="15">
      <c r="A216" s="233" t="s">
        <v>793</v>
      </c>
      <c r="C216" s="235"/>
      <c r="D216" s="235"/>
      <c r="E216" s="235"/>
      <c r="F216" s="235"/>
      <c r="G216" s="235"/>
      <c r="H216" s="235"/>
      <c r="I216" s="235"/>
      <c r="J216" s="235"/>
      <c r="K216" s="235"/>
      <c r="L216" s="236"/>
      <c r="M216" s="237"/>
      <c r="N216" s="237"/>
      <c r="O216" s="238"/>
    </row>
    <row r="217" ht="15">
      <c r="A217" s="233" t="s">
        <v>794</v>
      </c>
    </row>
  </sheetData>
  <mergeCells count="26">
    <mergeCell ref="A1:O1"/>
    <mergeCell ref="A2:O2"/>
    <mergeCell ref="A4:A8"/>
    <mergeCell ref="B4:B8"/>
    <mergeCell ref="D4:H4"/>
    <mergeCell ref="I4:L4"/>
    <mergeCell ref="M4:N4"/>
    <mergeCell ref="C5:C8"/>
    <mergeCell ref="F5:F8"/>
    <mergeCell ref="G5:G8"/>
    <mergeCell ref="H5:H8"/>
    <mergeCell ref="I5:I8"/>
    <mergeCell ref="J5:J8"/>
    <mergeCell ref="K5:K8"/>
    <mergeCell ref="L5:L8"/>
    <mergeCell ref="M5:M8"/>
    <mergeCell ref="A94:O94"/>
    <mergeCell ref="A101:O101"/>
    <mergeCell ref="D5:D8"/>
    <mergeCell ref="E5:E8"/>
    <mergeCell ref="I51:L51"/>
    <mergeCell ref="I58:L58"/>
    <mergeCell ref="N5:N8"/>
    <mergeCell ref="O5:O8"/>
    <mergeCell ref="A9:O10"/>
    <mergeCell ref="A21:O21"/>
  </mergeCells>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Tetra Tech EM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natalie.smith</dc:creator>
  <cp:keywords/>
  <dc:description/>
  <cp:lastModifiedBy>bliu</cp:lastModifiedBy>
  <cp:lastPrinted>2008-04-18T20:35:59Z</cp:lastPrinted>
  <dcterms:created xsi:type="dcterms:W3CDTF">2005-07-26T16:08:42Z</dcterms:created>
  <dcterms:modified xsi:type="dcterms:W3CDTF">2009-05-29T18:29:22Z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ReviewCycleID">
    <vt:i4>-1497296588</vt:i4>
  </property>
  <property fmtid="{D5CDD505-2E9C-101B-9397-08002B2CF9AE}" pid="3" name="_EmailEntryID">
    <vt:lpwstr>00000000A43EB2BEF4303749AA8F6EED6F21490F0700FE34E702EB43804FA28E0A68051B4D10000000011E250000FE34E702EB43804FA28E0A68051B4D1000000909B4DB0000</vt:lpwstr>
  </property>
  <property fmtid="{D5CDD505-2E9C-101B-9397-08002B2CF9AE}" pid="4" name="_EmailStoreID">
    <vt:lpwstr>0000000038A1BB1005E5101AA1BB08002B2A56C20000454D534D44422E444C4C00000000000000001B55FA20AA6611CD9BC800AA002FC45A0C000000454D492D45565332002F6F3D7465747261746563682F6F753D656D696D7378312F636E3D526563697069656E74732F636E3D4D696B652E4D617263757300</vt:lpwstr>
  </property>
</Properties>
</file>